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5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6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8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9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10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11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12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-114833628705544555750/Mon Drive/Ecosoum/1 - Waste management/4 - SPRIM/1 - Project docs/6 - Brand audit/"/>
    </mc:Choice>
  </mc:AlternateContent>
  <xr:revisionPtr revIDLastSave="0" documentId="13_ncr:1_{C377F97C-8BB5-594A-818E-43C5C5F32E7D}" xr6:coauthVersionLast="47" xr6:coauthVersionMax="47" xr10:uidLastSave="{00000000-0000-0000-0000-000000000000}"/>
  <bookViews>
    <workbookView xWindow="0" yWindow="500" windowWidth="25600" windowHeight="15500" xr2:uid="{933CE057-8951-114E-8AF7-B57B1A9DB806}"/>
  </bookViews>
  <sheets>
    <sheet name="OVERALL" sheetId="10" r:id="rId1"/>
    <sheet name="Glass bot." sheetId="1" r:id="rId2"/>
    <sheet name="Glass jars" sheetId="2" r:id="rId3"/>
    <sheet name="TOT. GLASS" sheetId="12" r:id="rId4"/>
    <sheet name="PET bot." sheetId="3" r:id="rId5"/>
    <sheet name="Non-PET" sheetId="5" r:id="rId6"/>
    <sheet name="Plastic bags" sheetId="6" r:id="rId7"/>
    <sheet name="TOT. PLASTIC" sheetId="13" r:id="rId8"/>
    <sheet name="Alu cans" sheetId="9" r:id="rId9"/>
    <sheet name="Steel cans" sheetId="8" r:id="rId10"/>
    <sheet name="TOT. METAL" sheetId="14" r:id="rId11"/>
    <sheet name="TetraPak" sheetId="7" r:id="rId12"/>
  </sheets>
  <definedNames>
    <definedName name="_xlnm._FilterDatabase" localSheetId="5" hidden="1">'Non-PET'!$E$4:$E$99</definedName>
    <definedName name="_xlnm._FilterDatabase" localSheetId="6" hidden="1">'Plastic bags'!$E$4:$E$125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9" l="1"/>
  <c r="B33" i="9"/>
  <c r="I19" i="9"/>
  <c r="B142" i="6"/>
  <c r="A92" i="9" l="1"/>
  <c r="B92" i="9" s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I77" i="1"/>
  <c r="B109" i="5"/>
  <c r="B122" i="5"/>
  <c r="A133" i="6"/>
  <c r="B133" i="6" s="1"/>
  <c r="K122" i="6"/>
  <c r="I122" i="6"/>
  <c r="K4" i="1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97" i="6"/>
  <c r="K98" i="6"/>
  <c r="K99" i="6"/>
  <c r="K100" i="6"/>
  <c r="K101" i="6"/>
  <c r="K102" i="6"/>
  <c r="K103" i="6"/>
  <c r="K104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17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6" i="6"/>
  <c r="K105" i="6"/>
  <c r="K106" i="6"/>
  <c r="K107" i="6"/>
  <c r="K94" i="6"/>
  <c r="K108" i="6"/>
  <c r="K109" i="6"/>
  <c r="K110" i="6"/>
  <c r="K111" i="6"/>
  <c r="K112" i="6"/>
  <c r="K93" i="6"/>
  <c r="K113" i="6"/>
  <c r="K114" i="6"/>
  <c r="K95" i="6"/>
  <c r="K115" i="6"/>
  <c r="K116" i="6"/>
  <c r="K117" i="6"/>
  <c r="K118" i="6"/>
  <c r="K119" i="6"/>
  <c r="K120" i="6"/>
  <c r="K121" i="6"/>
  <c r="K123" i="6"/>
  <c r="K124" i="6"/>
  <c r="A141" i="6"/>
  <c r="B141" i="6" s="1"/>
  <c r="A140" i="6"/>
  <c r="B140" i="6" s="1"/>
  <c r="A137" i="6"/>
  <c r="B137" i="6" s="1"/>
  <c r="A138" i="6"/>
  <c r="B138" i="6" s="1"/>
  <c r="A139" i="6"/>
  <c r="B139" i="6" s="1"/>
  <c r="A135" i="6"/>
  <c r="B135" i="6" s="1"/>
  <c r="A136" i="6"/>
  <c r="B136" i="6" s="1"/>
  <c r="A134" i="6"/>
  <c r="B134" i="6" s="1"/>
  <c r="A132" i="6"/>
  <c r="B132" i="6" s="1"/>
  <c r="B16" i="13" s="1"/>
  <c r="A131" i="6"/>
  <c r="B131" i="6" s="1"/>
  <c r="A130" i="6"/>
  <c r="B130" i="6" s="1"/>
  <c r="A113" i="5"/>
  <c r="B113" i="5" s="1"/>
  <c r="A110" i="5"/>
  <c r="B110" i="5" s="1"/>
  <c r="A121" i="5"/>
  <c r="B121" i="5" s="1"/>
  <c r="A119" i="5"/>
  <c r="B119" i="5" s="1"/>
  <c r="A118" i="5"/>
  <c r="B118" i="5" s="1"/>
  <c r="A117" i="5"/>
  <c r="B117" i="5" s="1"/>
  <c r="A116" i="5"/>
  <c r="B116" i="5" s="1"/>
  <c r="A115" i="5"/>
  <c r="B115" i="5" s="1"/>
  <c r="A114" i="5"/>
  <c r="B114" i="5" s="1"/>
  <c r="A112" i="5"/>
  <c r="B112" i="5" s="1"/>
  <c r="A111" i="5"/>
  <c r="B111" i="5" s="1"/>
  <c r="B105" i="1"/>
  <c r="A65" i="2"/>
  <c r="C57" i="3"/>
  <c r="B79" i="3" s="1"/>
  <c r="C52" i="2"/>
  <c r="B66" i="2" s="1"/>
  <c r="A12" i="13" l="1"/>
  <c r="B65" i="2"/>
  <c r="B11" i="13"/>
  <c r="B12" i="13"/>
  <c r="A11" i="13"/>
  <c r="A16" i="13"/>
  <c r="A95" i="1"/>
  <c r="A13" i="12" s="1"/>
  <c r="I78" i="1"/>
  <c r="B48" i="8"/>
  <c r="A103" i="8"/>
  <c r="A90" i="14" s="1"/>
  <c r="A152" i="10"/>
  <c r="A89" i="14"/>
  <c r="A51" i="14"/>
  <c r="A52" i="14"/>
  <c r="A53" i="14"/>
  <c r="A49" i="14"/>
  <c r="K4" i="14"/>
  <c r="K3" i="14"/>
  <c r="B153" i="6"/>
  <c r="B103" i="13" s="1"/>
  <c r="K4" i="13"/>
  <c r="I13" i="6"/>
  <c r="D131" i="6" s="1"/>
  <c r="D12" i="13" s="1"/>
  <c r="I45" i="6"/>
  <c r="I33" i="6"/>
  <c r="I38" i="6"/>
  <c r="I30" i="6"/>
  <c r="I20" i="6"/>
  <c r="D136" i="6" s="1"/>
  <c r="I34" i="6"/>
  <c r="I31" i="6"/>
  <c r="I35" i="6"/>
  <c r="I50" i="6"/>
  <c r="I32" i="6"/>
  <c r="I51" i="6"/>
  <c r="I105" i="6"/>
  <c r="I52" i="6"/>
  <c r="I53" i="6"/>
  <c r="I106" i="6"/>
  <c r="I22" i="6"/>
  <c r="I23" i="6"/>
  <c r="I44" i="6"/>
  <c r="I54" i="6"/>
  <c r="I55" i="6"/>
  <c r="I56" i="6"/>
  <c r="I57" i="6"/>
  <c r="I8" i="6"/>
  <c r="I9" i="6"/>
  <c r="I10" i="6"/>
  <c r="I11" i="6"/>
  <c r="I12" i="6"/>
  <c r="I58" i="6"/>
  <c r="I101" i="6"/>
  <c r="I37" i="6"/>
  <c r="I16" i="6"/>
  <c r="I100" i="6"/>
  <c r="I59" i="6"/>
  <c r="I42" i="6"/>
  <c r="I21" i="6"/>
  <c r="D137" i="6" s="1"/>
  <c r="I60" i="6"/>
  <c r="I61" i="6"/>
  <c r="I62" i="6"/>
  <c r="I63" i="6"/>
  <c r="I40" i="6"/>
  <c r="I64" i="6"/>
  <c r="I65" i="6"/>
  <c r="I66" i="6"/>
  <c r="I67" i="6"/>
  <c r="I68" i="6"/>
  <c r="I99" i="6"/>
  <c r="I36" i="6"/>
  <c r="I43" i="6"/>
  <c r="I14" i="6"/>
  <c r="I18" i="6"/>
  <c r="D134" i="6" s="1"/>
  <c r="I107" i="6"/>
  <c r="I94" i="6"/>
  <c r="I108" i="6"/>
  <c r="I109" i="6"/>
  <c r="I102" i="6"/>
  <c r="I39" i="6"/>
  <c r="I103" i="6"/>
  <c r="I110" i="6"/>
  <c r="I111" i="6"/>
  <c r="I69" i="6"/>
  <c r="I70" i="6"/>
  <c r="I24" i="6"/>
  <c r="D139" i="6" s="1"/>
  <c r="I25" i="6"/>
  <c r="I71" i="6"/>
  <c r="I72" i="6"/>
  <c r="I73" i="6"/>
  <c r="I112" i="6"/>
  <c r="I93" i="6"/>
  <c r="I74" i="6"/>
  <c r="I46" i="6"/>
  <c r="I47" i="6"/>
  <c r="I75" i="6"/>
  <c r="I76" i="6"/>
  <c r="I29" i="6"/>
  <c r="D141" i="6" s="1"/>
  <c r="I77" i="6"/>
  <c r="I26" i="6"/>
  <c r="I27" i="6"/>
  <c r="I28" i="6"/>
  <c r="I15" i="6"/>
  <c r="I78" i="6"/>
  <c r="I104" i="6"/>
  <c r="I48" i="6"/>
  <c r="I49" i="6"/>
  <c r="I113" i="6"/>
  <c r="I97" i="6"/>
  <c r="I98" i="6"/>
  <c r="I17" i="6"/>
  <c r="I79" i="6"/>
  <c r="I80" i="6"/>
  <c r="I81" i="6"/>
  <c r="I114" i="6"/>
  <c r="I95" i="6"/>
  <c r="I82" i="6"/>
  <c r="I83" i="6"/>
  <c r="I84" i="6"/>
  <c r="I85" i="6"/>
  <c r="I86" i="6"/>
  <c r="I87" i="6"/>
  <c r="I88" i="6"/>
  <c r="I89" i="6"/>
  <c r="I41" i="6"/>
  <c r="I90" i="6"/>
  <c r="I91" i="6"/>
  <c r="I92" i="6"/>
  <c r="I115" i="6"/>
  <c r="I96" i="6"/>
  <c r="I116" i="6"/>
  <c r="D165" i="6" s="1"/>
  <c r="I117" i="6"/>
  <c r="I118" i="6"/>
  <c r="I119" i="6"/>
  <c r="I120" i="6"/>
  <c r="I121" i="6"/>
  <c r="I123" i="6"/>
  <c r="I124" i="6"/>
  <c r="I19" i="6"/>
  <c r="D135" i="6" s="1"/>
  <c r="B218" i="6"/>
  <c r="B60" i="13" s="1"/>
  <c r="B217" i="6"/>
  <c r="B59" i="13" s="1"/>
  <c r="B216" i="6"/>
  <c r="B58" i="13" s="1"/>
  <c r="B175" i="6"/>
  <c r="B174" i="6"/>
  <c r="B173" i="6"/>
  <c r="B154" i="6"/>
  <c r="B165" i="6"/>
  <c r="C1" i="6"/>
  <c r="B157" i="6"/>
  <c r="B109" i="13" s="1"/>
  <c r="B156" i="6"/>
  <c r="B108" i="13" s="1"/>
  <c r="B162" i="6"/>
  <c r="B164" i="6"/>
  <c r="B160" i="6"/>
  <c r="B158" i="6"/>
  <c r="B163" i="6"/>
  <c r="B161" i="6"/>
  <c r="B155" i="6"/>
  <c r="B107" i="13" s="1"/>
  <c r="B159" i="6"/>
  <c r="B196" i="6"/>
  <c r="A195" i="6"/>
  <c r="B195" i="6" s="1"/>
  <c r="B201" i="5"/>
  <c r="B65" i="13" s="1"/>
  <c r="B155" i="5"/>
  <c r="B154" i="5"/>
  <c r="B153" i="5"/>
  <c r="B132" i="5"/>
  <c r="K125" i="6"/>
  <c r="I125" i="6"/>
  <c r="I7" i="6"/>
  <c r="D157" i="6" s="1"/>
  <c r="D109" i="13" s="1"/>
  <c r="I6" i="6"/>
  <c r="D153" i="6" s="1"/>
  <c r="D103" i="13" s="1"/>
  <c r="I5" i="6"/>
  <c r="D155" i="6" s="1"/>
  <c r="D107" i="13" s="1"/>
  <c r="I4" i="6"/>
  <c r="D138" i="6" l="1"/>
  <c r="B36" i="13"/>
  <c r="D122" i="6"/>
  <c r="D132" i="6"/>
  <c r="C131" i="6"/>
  <c r="D133" i="6"/>
  <c r="C138" i="6"/>
  <c r="C140" i="6"/>
  <c r="D130" i="6"/>
  <c r="C141" i="6"/>
  <c r="C133" i="6"/>
  <c r="D162" i="6"/>
  <c r="B143" i="6"/>
  <c r="C136" i="6"/>
  <c r="D161" i="6"/>
  <c r="D142" i="6"/>
  <c r="C135" i="6"/>
  <c r="C137" i="6"/>
  <c r="C139" i="6"/>
  <c r="D140" i="6"/>
  <c r="C132" i="6"/>
  <c r="C134" i="6"/>
  <c r="B129" i="13"/>
  <c r="B131" i="10" s="1"/>
  <c r="D163" i="6"/>
  <c r="D159" i="6"/>
  <c r="D160" i="6"/>
  <c r="C195" i="6"/>
  <c r="B95" i="1"/>
  <c r="B13" i="12" s="1"/>
  <c r="D4" i="6"/>
  <c r="D156" i="6"/>
  <c r="D108" i="13" s="1"/>
  <c r="D158" i="6"/>
  <c r="D173" i="6"/>
  <c r="D164" i="6"/>
  <c r="B197" i="6"/>
  <c r="D174" i="6"/>
  <c r="D154" i="6"/>
  <c r="D13" i="6"/>
  <c r="D218" i="6"/>
  <c r="D60" i="13" s="1"/>
  <c r="D217" i="6"/>
  <c r="D59" i="13" s="1"/>
  <c r="B166" i="6"/>
  <c r="D216" i="6"/>
  <c r="D58" i="13" s="1"/>
  <c r="D196" i="6"/>
  <c r="D195" i="6"/>
  <c r="D175" i="6"/>
  <c r="B176" i="6"/>
  <c r="C162" i="6"/>
  <c r="D74" i="6"/>
  <c r="C196" i="6"/>
  <c r="C157" i="6"/>
  <c r="C156" i="6"/>
  <c r="C158" i="6"/>
  <c r="C164" i="6"/>
  <c r="C160" i="6"/>
  <c r="C175" i="6"/>
  <c r="E1" i="6"/>
  <c r="C165" i="6"/>
  <c r="C159" i="6"/>
  <c r="C155" i="6"/>
  <c r="C161" i="6"/>
  <c r="C153" i="6"/>
  <c r="C174" i="6"/>
  <c r="C217" i="6"/>
  <c r="C163" i="6"/>
  <c r="C173" i="6"/>
  <c r="C216" i="6"/>
  <c r="C154" i="6"/>
  <c r="C218" i="6"/>
  <c r="C130" i="6"/>
  <c r="C142" i="6"/>
  <c r="K5" i="5"/>
  <c r="K6" i="5"/>
  <c r="K7" i="5"/>
  <c r="K8" i="5"/>
  <c r="K20" i="5"/>
  <c r="K15" i="5"/>
  <c r="K16" i="5"/>
  <c r="K22" i="5"/>
  <c r="K23" i="5"/>
  <c r="K17" i="5"/>
  <c r="K18" i="5"/>
  <c r="K30" i="5"/>
  <c r="K31" i="5"/>
  <c r="K32" i="5"/>
  <c r="K33" i="5"/>
  <c r="K34" i="5"/>
  <c r="K35" i="5"/>
  <c r="K36" i="5"/>
  <c r="K37" i="5"/>
  <c r="K38" i="5"/>
  <c r="K39" i="5"/>
  <c r="K24" i="5"/>
  <c r="K40" i="5"/>
  <c r="K41" i="5"/>
  <c r="K42" i="5"/>
  <c r="K14" i="5"/>
  <c r="K46" i="5"/>
  <c r="K47" i="5"/>
  <c r="K9" i="5"/>
  <c r="K10" i="5"/>
  <c r="K11" i="5"/>
  <c r="K49" i="5"/>
  <c r="K50" i="5"/>
  <c r="K48" i="5"/>
  <c r="K21" i="5"/>
  <c r="K19" i="5"/>
  <c r="K52" i="5"/>
  <c r="K51" i="5"/>
  <c r="K53" i="5"/>
  <c r="K54" i="5"/>
  <c r="K43" i="5"/>
  <c r="K44" i="5"/>
  <c r="K55" i="5"/>
  <c r="K56" i="5"/>
  <c r="K57" i="5"/>
  <c r="K58" i="5"/>
  <c r="K59" i="5"/>
  <c r="K60" i="5"/>
  <c r="K61" i="5"/>
  <c r="K62" i="5"/>
  <c r="K27" i="5"/>
  <c r="K63" i="5"/>
  <c r="K64" i="5"/>
  <c r="K65" i="5"/>
  <c r="K66" i="5"/>
  <c r="K67" i="5"/>
  <c r="K68" i="5"/>
  <c r="K69" i="5"/>
  <c r="K70" i="5"/>
  <c r="K71" i="5"/>
  <c r="K72" i="5"/>
  <c r="K73" i="5"/>
  <c r="K12" i="5"/>
  <c r="K74" i="5"/>
  <c r="K75" i="5"/>
  <c r="K76" i="5"/>
  <c r="K77" i="5"/>
  <c r="K78" i="5"/>
  <c r="K28" i="5"/>
  <c r="K13" i="5"/>
  <c r="K79" i="5"/>
  <c r="K80" i="5"/>
  <c r="K81" i="5"/>
  <c r="K82" i="5"/>
  <c r="K83" i="5"/>
  <c r="K84" i="5"/>
  <c r="K85" i="5"/>
  <c r="K86" i="5"/>
  <c r="K25" i="5"/>
  <c r="K87" i="5"/>
  <c r="K26" i="5"/>
  <c r="K29" i="5"/>
  <c r="K88" i="5"/>
  <c r="K89" i="5"/>
  <c r="K90" i="5"/>
  <c r="K91" i="5"/>
  <c r="K92" i="5"/>
  <c r="K45" i="5"/>
  <c r="K93" i="5"/>
  <c r="K94" i="5"/>
  <c r="K95" i="5"/>
  <c r="K96" i="5"/>
  <c r="K97" i="5"/>
  <c r="K98" i="5"/>
  <c r="K99" i="5"/>
  <c r="K100" i="5"/>
  <c r="K101" i="5"/>
  <c r="K102" i="5"/>
  <c r="K103" i="5"/>
  <c r="K4" i="5"/>
  <c r="I103" i="5"/>
  <c r="I102" i="5"/>
  <c r="D140" i="5" s="1"/>
  <c r="I101" i="5"/>
  <c r="D139" i="5" s="1"/>
  <c r="D119" i="13" s="1"/>
  <c r="I100" i="5"/>
  <c r="I14" i="5"/>
  <c r="D114" i="5" s="1"/>
  <c r="C19" i="1"/>
  <c r="K19" i="1" s="1"/>
  <c r="I5" i="5"/>
  <c r="I6" i="5"/>
  <c r="I7" i="5"/>
  <c r="I8" i="5"/>
  <c r="I20" i="5"/>
  <c r="D118" i="5" s="1"/>
  <c r="I15" i="5"/>
  <c r="I16" i="5"/>
  <c r="I22" i="5"/>
  <c r="I23" i="5"/>
  <c r="I9" i="5"/>
  <c r="I10" i="5"/>
  <c r="I11" i="5"/>
  <c r="I49" i="5"/>
  <c r="D110" i="5" s="1"/>
  <c r="I50" i="5"/>
  <c r="I48" i="5"/>
  <c r="I21" i="5"/>
  <c r="D119" i="5" s="1"/>
  <c r="I19" i="5"/>
  <c r="D117" i="5" s="1"/>
  <c r="I17" i="5"/>
  <c r="I18" i="5"/>
  <c r="I30" i="5"/>
  <c r="I31" i="5"/>
  <c r="I52" i="5"/>
  <c r="I51" i="5"/>
  <c r="I53" i="5"/>
  <c r="I54" i="5"/>
  <c r="I43" i="5"/>
  <c r="I44" i="5"/>
  <c r="I55" i="5"/>
  <c r="I32" i="5"/>
  <c r="I33" i="5"/>
  <c r="I56" i="5"/>
  <c r="I57" i="5"/>
  <c r="I58" i="5"/>
  <c r="I59" i="5"/>
  <c r="I60" i="5"/>
  <c r="I61" i="5"/>
  <c r="I62" i="5"/>
  <c r="I27" i="5"/>
  <c r="I63" i="5"/>
  <c r="I64" i="5"/>
  <c r="I65" i="5"/>
  <c r="I66" i="5"/>
  <c r="I67" i="5"/>
  <c r="I68" i="5"/>
  <c r="I69" i="5"/>
  <c r="I70" i="5"/>
  <c r="I71" i="5"/>
  <c r="I72" i="5"/>
  <c r="I73" i="5"/>
  <c r="I46" i="5"/>
  <c r="I12" i="5"/>
  <c r="D112" i="5" s="1"/>
  <c r="I34" i="5"/>
  <c r="I74" i="5"/>
  <c r="I75" i="5"/>
  <c r="I35" i="5"/>
  <c r="I36" i="5"/>
  <c r="I76" i="5"/>
  <c r="I37" i="5"/>
  <c r="I38" i="5"/>
  <c r="I77" i="5"/>
  <c r="I39" i="5"/>
  <c r="I78" i="5"/>
  <c r="I28" i="5"/>
  <c r="I13" i="5"/>
  <c r="I79" i="5"/>
  <c r="I24" i="5"/>
  <c r="D121" i="5" s="1"/>
  <c r="I80" i="5"/>
  <c r="I40" i="5"/>
  <c r="I81" i="5"/>
  <c r="I41" i="5"/>
  <c r="I82" i="5"/>
  <c r="I83" i="5"/>
  <c r="I84" i="5"/>
  <c r="I85" i="5"/>
  <c r="I42" i="5"/>
  <c r="I86" i="5"/>
  <c r="I25" i="5"/>
  <c r="I87" i="5"/>
  <c r="I26" i="5"/>
  <c r="I29" i="5"/>
  <c r="I88" i="5"/>
  <c r="I89" i="5"/>
  <c r="I90" i="5"/>
  <c r="I47" i="5"/>
  <c r="I91" i="5"/>
  <c r="I92" i="5"/>
  <c r="I45" i="5"/>
  <c r="I93" i="5"/>
  <c r="I94" i="5"/>
  <c r="I95" i="5"/>
  <c r="I96" i="5"/>
  <c r="I97" i="5"/>
  <c r="I98" i="5"/>
  <c r="I99" i="5"/>
  <c r="I4" i="5"/>
  <c r="D118" i="13" l="1"/>
  <c r="D113" i="5"/>
  <c r="D109" i="5"/>
  <c r="E132" i="6"/>
  <c r="D111" i="5"/>
  <c r="D116" i="5"/>
  <c r="D134" i="5"/>
  <c r="D117" i="13" s="1"/>
  <c r="D82" i="13" s="1"/>
  <c r="D122" i="5"/>
  <c r="D115" i="5"/>
  <c r="E140" i="6"/>
  <c r="D36" i="13"/>
  <c r="I1" i="6"/>
  <c r="E135" i="6"/>
  <c r="E133" i="6"/>
  <c r="E138" i="6"/>
  <c r="E134" i="6"/>
  <c r="E136" i="6"/>
  <c r="E131" i="6"/>
  <c r="E139" i="6"/>
  <c r="E141" i="6"/>
  <c r="E137" i="6"/>
  <c r="D197" i="6"/>
  <c r="D142" i="5"/>
  <c r="D113" i="13" s="1"/>
  <c r="D155" i="5"/>
  <c r="D129" i="13" s="1"/>
  <c r="D131" i="10" s="1"/>
  <c r="D201" i="5"/>
  <c r="D65" i="13" s="1"/>
  <c r="E218" i="6"/>
  <c r="D176" i="6"/>
  <c r="D166" i="6"/>
  <c r="D219" i="6"/>
  <c r="E196" i="6"/>
  <c r="E162" i="6"/>
  <c r="B219" i="6"/>
  <c r="E156" i="6"/>
  <c r="E155" i="6"/>
  <c r="E158" i="6"/>
  <c r="E160" i="6"/>
  <c r="E165" i="6"/>
  <c r="E164" i="6"/>
  <c r="E154" i="6"/>
  <c r="E163" i="6"/>
  <c r="E157" i="6"/>
  <c r="E161" i="6"/>
  <c r="E159" i="6"/>
  <c r="E153" i="6"/>
  <c r="E175" i="6"/>
  <c r="E130" i="6"/>
  <c r="E173" i="6"/>
  <c r="E174" i="6"/>
  <c r="E217" i="6"/>
  <c r="E142" i="6"/>
  <c r="E195" i="6"/>
  <c r="E216" i="6"/>
  <c r="D137" i="5"/>
  <c r="D153" i="5"/>
  <c r="D133" i="5"/>
  <c r="D138" i="5"/>
  <c r="D135" i="5"/>
  <c r="D132" i="5"/>
  <c r="D136" i="5"/>
  <c r="D141" i="5"/>
  <c r="D121" i="13" s="1"/>
  <c r="D154" i="5"/>
  <c r="E1" i="5"/>
  <c r="E110" i="5" s="1"/>
  <c r="B103" i="8"/>
  <c r="B90" i="14" s="1"/>
  <c r="B85" i="8"/>
  <c r="B84" i="8"/>
  <c r="D48" i="8"/>
  <c r="A47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" i="8"/>
  <c r="B89" i="14"/>
  <c r="B73" i="9"/>
  <c r="I5" i="9"/>
  <c r="I7" i="9"/>
  <c r="I9" i="9"/>
  <c r="I10" i="9"/>
  <c r="I11" i="9"/>
  <c r="I12" i="9"/>
  <c r="I13" i="9"/>
  <c r="I14" i="9"/>
  <c r="I15" i="9"/>
  <c r="I16" i="9"/>
  <c r="I17" i="9"/>
  <c r="I18" i="9"/>
  <c r="I20" i="9"/>
  <c r="I21" i="9"/>
  <c r="I22" i="9"/>
  <c r="I23" i="9"/>
  <c r="I24" i="9"/>
  <c r="I25" i="9"/>
  <c r="I26" i="9"/>
  <c r="A32" i="9"/>
  <c r="A31" i="9"/>
  <c r="A8" i="14" s="1"/>
  <c r="B99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4" i="7"/>
  <c r="B125" i="3"/>
  <c r="A78" i="3"/>
  <c r="B78" i="3" s="1"/>
  <c r="A73" i="3"/>
  <c r="A77" i="3"/>
  <c r="A75" i="3"/>
  <c r="B75" i="3" s="1"/>
  <c r="A74" i="3"/>
  <c r="A76" i="3"/>
  <c r="B76" i="3" s="1"/>
  <c r="A72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8" i="3"/>
  <c r="I27" i="3"/>
  <c r="I26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D16" i="13" s="1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D98" i="3" s="1"/>
  <c r="I61" i="3"/>
  <c r="I62" i="3"/>
  <c r="I63" i="3"/>
  <c r="I64" i="3"/>
  <c r="D95" i="3" s="1"/>
  <c r="D120" i="13" s="1"/>
  <c r="I65" i="3"/>
  <c r="B140" i="5"/>
  <c r="B118" i="13" s="1"/>
  <c r="B142" i="5"/>
  <c r="B113" i="13" s="1"/>
  <c r="B139" i="5"/>
  <c r="B119" i="13" s="1"/>
  <c r="B134" i="5"/>
  <c r="B117" i="13" s="1"/>
  <c r="B82" i="13" s="1"/>
  <c r="B138" i="5"/>
  <c r="B135" i="5"/>
  <c r="B136" i="5"/>
  <c r="B141" i="5"/>
  <c r="B121" i="13" s="1"/>
  <c r="B137" i="5"/>
  <c r="B133" i="5"/>
  <c r="A62" i="12"/>
  <c r="A56" i="12"/>
  <c r="A55" i="12"/>
  <c r="A57" i="12"/>
  <c r="A58" i="12"/>
  <c r="A59" i="12"/>
  <c r="A60" i="12"/>
  <c r="A54" i="12"/>
  <c r="A53" i="12"/>
  <c r="K4" i="12"/>
  <c r="K3" i="12"/>
  <c r="A77" i="2"/>
  <c r="A64" i="2"/>
  <c r="B64" i="2" s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40" i="2"/>
  <c r="K41" i="2"/>
  <c r="K33" i="2"/>
  <c r="K34" i="2"/>
  <c r="K35" i="2"/>
  <c r="K36" i="2"/>
  <c r="K39" i="2"/>
  <c r="K43" i="2"/>
  <c r="K44" i="2"/>
  <c r="K45" i="2"/>
  <c r="K46" i="2"/>
  <c r="K47" i="2"/>
  <c r="K42" i="2"/>
  <c r="K37" i="2"/>
  <c r="K38" i="2"/>
  <c r="K48" i="2"/>
  <c r="K49" i="2"/>
  <c r="K50" i="2"/>
  <c r="K51" i="2"/>
  <c r="K52" i="2"/>
  <c r="A99" i="1"/>
  <c r="B99" i="1" s="1"/>
  <c r="A97" i="1"/>
  <c r="B97" i="1" s="1"/>
  <c r="A104" i="1"/>
  <c r="B104" i="1" s="1"/>
  <c r="A98" i="1"/>
  <c r="B98" i="1" s="1"/>
  <c r="A103" i="1"/>
  <c r="B103" i="1" s="1"/>
  <c r="A101" i="1"/>
  <c r="B101" i="1" s="1"/>
  <c r="A102" i="1"/>
  <c r="B102" i="1" s="1"/>
  <c r="A100" i="1"/>
  <c r="B100" i="1" s="1"/>
  <c r="A96" i="1"/>
  <c r="B96" i="1" s="1"/>
  <c r="A66" i="2"/>
  <c r="D93" i="3" l="1"/>
  <c r="D102" i="13" s="1"/>
  <c r="B77" i="3"/>
  <c r="B13" i="13" s="1"/>
  <c r="A13" i="13"/>
  <c r="D37" i="13"/>
  <c r="D156" i="5"/>
  <c r="E109" i="5"/>
  <c r="B73" i="3"/>
  <c r="B14" i="13" s="1"/>
  <c r="A14" i="13"/>
  <c r="E115" i="5"/>
  <c r="E113" i="5"/>
  <c r="E114" i="5"/>
  <c r="E119" i="5"/>
  <c r="E117" i="5"/>
  <c r="B72" i="3"/>
  <c r="B10" i="13" s="1"/>
  <c r="B55" i="10" s="1"/>
  <c r="A10" i="13"/>
  <c r="A55" i="10" s="1"/>
  <c r="E122" i="5"/>
  <c r="E112" i="5"/>
  <c r="E111" i="5"/>
  <c r="B74" i="3"/>
  <c r="B15" i="13" s="1"/>
  <c r="A15" i="13"/>
  <c r="E118" i="5"/>
  <c r="E116" i="5"/>
  <c r="E121" i="5"/>
  <c r="D115" i="13"/>
  <c r="D73" i="9"/>
  <c r="B71" i="14"/>
  <c r="B32" i="9"/>
  <c r="D32" i="9" s="1"/>
  <c r="A9" i="14"/>
  <c r="A16" i="12"/>
  <c r="A11" i="14"/>
  <c r="A17" i="13"/>
  <c r="D99" i="7"/>
  <c r="E201" i="5"/>
  <c r="E155" i="5"/>
  <c r="D143" i="6"/>
  <c r="E154" i="5"/>
  <c r="E153" i="5"/>
  <c r="E133" i="5"/>
  <c r="E134" i="5"/>
  <c r="E136" i="5"/>
  <c r="D143" i="5"/>
  <c r="E132" i="5"/>
  <c r="E141" i="5"/>
  <c r="E142" i="5"/>
  <c r="E139" i="5"/>
  <c r="E137" i="5"/>
  <c r="E135" i="5"/>
  <c r="E140" i="5"/>
  <c r="E138" i="5"/>
  <c r="I1" i="5"/>
  <c r="D94" i="3"/>
  <c r="D116" i="13" s="1"/>
  <c r="D125" i="3"/>
  <c r="D107" i="3"/>
  <c r="D128" i="13" s="1"/>
  <c r="D90" i="3"/>
  <c r="D106" i="13" s="1"/>
  <c r="A15" i="12"/>
  <c r="D103" i="8"/>
  <c r="D90" i="14" s="1"/>
  <c r="D84" i="8"/>
  <c r="D85" i="8"/>
  <c r="D106" i="3"/>
  <c r="D127" i="13" s="1"/>
  <c r="D97" i="3"/>
  <c r="D114" i="13" s="1"/>
  <c r="D92" i="3"/>
  <c r="D110" i="13" s="1"/>
  <c r="D89" i="3"/>
  <c r="D105" i="13" s="1"/>
  <c r="D88" i="3"/>
  <c r="D104" i="13" s="1"/>
  <c r="D96" i="3"/>
  <c r="D111" i="13" s="1"/>
  <c r="D91" i="3"/>
  <c r="D112" i="13" s="1"/>
  <c r="D87" i="3"/>
  <c r="D101" i="13" s="1"/>
  <c r="D79" i="3"/>
  <c r="D78" i="3"/>
  <c r="D74" i="3"/>
  <c r="D15" i="13" s="1"/>
  <c r="D72" i="3"/>
  <c r="D10" i="13" s="1"/>
  <c r="D55" i="10" s="1"/>
  <c r="D73" i="3"/>
  <c r="D14" i="13" s="1"/>
  <c r="D77" i="3"/>
  <c r="D13" i="13" s="1"/>
  <c r="D75" i="3"/>
  <c r="D11" i="13" s="1"/>
  <c r="D76" i="3"/>
  <c r="I17" i="1"/>
  <c r="I44" i="2"/>
  <c r="I43" i="2"/>
  <c r="I45" i="2"/>
  <c r="I39" i="2"/>
  <c r="I28" i="2"/>
  <c r="I37" i="2"/>
  <c r="D64" i="2" s="1"/>
  <c r="I34" i="2"/>
  <c r="I46" i="2"/>
  <c r="I24" i="2"/>
  <c r="I27" i="2"/>
  <c r="I38" i="2"/>
  <c r="D65" i="2" s="1"/>
  <c r="I25" i="2"/>
  <c r="A63" i="2"/>
  <c r="A61" i="2"/>
  <c r="A58" i="2"/>
  <c r="A11" i="12" s="1"/>
  <c r="A60" i="2"/>
  <c r="A14" i="12" s="1"/>
  <c r="A62" i="2"/>
  <c r="A59" i="2"/>
  <c r="A12" i="12" s="1"/>
  <c r="A57" i="2"/>
  <c r="A10" i="12" s="1"/>
  <c r="C1" i="2"/>
  <c r="I47" i="2"/>
  <c r="B48" i="7"/>
  <c r="D48" i="7" s="1"/>
  <c r="A44" i="7"/>
  <c r="B44" i="7" s="1"/>
  <c r="D44" i="7" s="1"/>
  <c r="A45" i="7"/>
  <c r="B45" i="7" s="1"/>
  <c r="D45" i="7" s="1"/>
  <c r="D13" i="2" l="1"/>
  <c r="C65" i="2"/>
  <c r="D81" i="13"/>
  <c r="D9" i="14"/>
  <c r="B9" i="14"/>
  <c r="D80" i="13"/>
  <c r="D71" i="14"/>
  <c r="D79" i="13"/>
  <c r="B35" i="12"/>
  <c r="B32" i="10"/>
  <c r="C1" i="1"/>
  <c r="D77" i="1" s="1"/>
  <c r="D25" i="2"/>
  <c r="B60" i="2"/>
  <c r="B14" i="12" s="1"/>
  <c r="B58" i="2"/>
  <c r="B11" i="12" s="1"/>
  <c r="B61" i="2"/>
  <c r="B15" i="12" s="1"/>
  <c r="B63" i="2"/>
  <c r="B57" i="2"/>
  <c r="B10" i="12" s="1"/>
  <c r="B59" i="2"/>
  <c r="B12" i="12" s="1"/>
  <c r="C64" i="2"/>
  <c r="B62" i="2"/>
  <c r="D44" i="2"/>
  <c r="D43" i="2"/>
  <c r="D45" i="2"/>
  <c r="D28" i="2"/>
  <c r="D39" i="2"/>
  <c r="D37" i="2"/>
  <c r="D34" i="2"/>
  <c r="D46" i="2"/>
  <c r="D24" i="2"/>
  <c r="D27" i="2"/>
  <c r="D38" i="2"/>
  <c r="I35" i="2"/>
  <c r="I75" i="1"/>
  <c r="D99" i="1" s="1"/>
  <c r="A121" i="1"/>
  <c r="A65" i="12" s="1"/>
  <c r="B118" i="1"/>
  <c r="A120" i="1"/>
  <c r="A64" i="12" s="1"/>
  <c r="A119" i="1"/>
  <c r="A63" i="12" s="1"/>
  <c r="A117" i="1"/>
  <c r="A61" i="12" s="1"/>
  <c r="A94" i="1"/>
  <c r="A9" i="12" s="1"/>
  <c r="A56" i="10" s="1"/>
  <c r="A115" i="2"/>
  <c r="A114" i="2"/>
  <c r="B97" i="2"/>
  <c r="B96" i="2"/>
  <c r="I48" i="2"/>
  <c r="I18" i="2"/>
  <c r="I12" i="2"/>
  <c r="K4" i="2"/>
  <c r="I4" i="2"/>
  <c r="I32" i="2"/>
  <c r="I17" i="2"/>
  <c r="I10" i="2"/>
  <c r="I51" i="2"/>
  <c r="I41" i="2"/>
  <c r="I22" i="2"/>
  <c r="I16" i="2"/>
  <c r="I9" i="2"/>
  <c r="I7" i="2"/>
  <c r="I52" i="2"/>
  <c r="I49" i="2"/>
  <c r="I30" i="2"/>
  <c r="I20" i="2"/>
  <c r="I14" i="2"/>
  <c r="I6" i="2"/>
  <c r="I50" i="2"/>
  <c r="I40" i="2"/>
  <c r="I15" i="2"/>
  <c r="I8" i="2"/>
  <c r="I23" i="2"/>
  <c r="K54" i="2"/>
  <c r="K53" i="2"/>
  <c r="I31" i="2"/>
  <c r="I29" i="2"/>
  <c r="I26" i="2"/>
  <c r="I21" i="2"/>
  <c r="I19" i="2"/>
  <c r="I11" i="2"/>
  <c r="K5" i="2"/>
  <c r="I5" i="2"/>
  <c r="I13" i="2"/>
  <c r="I87" i="1"/>
  <c r="I58" i="1"/>
  <c r="I85" i="1"/>
  <c r="I86" i="1"/>
  <c r="I84" i="1"/>
  <c r="I83" i="1"/>
  <c r="I82" i="1"/>
  <c r="I81" i="1"/>
  <c r="D118" i="1" s="1"/>
  <c r="I79" i="1"/>
  <c r="I59" i="1"/>
  <c r="I73" i="1"/>
  <c r="I9" i="1"/>
  <c r="I54" i="1"/>
  <c r="I42" i="1"/>
  <c r="I72" i="1"/>
  <c r="D104" i="1" s="1"/>
  <c r="I41" i="1"/>
  <c r="I71" i="1"/>
  <c r="I4" i="1"/>
  <c r="I6" i="1"/>
  <c r="I7" i="1"/>
  <c r="I8" i="1"/>
  <c r="I10" i="1"/>
  <c r="I11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I57" i="1"/>
  <c r="I61" i="1"/>
  <c r="I62" i="1"/>
  <c r="I63" i="1"/>
  <c r="I64" i="1"/>
  <c r="I65" i="1"/>
  <c r="I66" i="1"/>
  <c r="I67" i="1"/>
  <c r="I68" i="1"/>
  <c r="I69" i="1"/>
  <c r="D101" i="1" s="1"/>
  <c r="I70" i="1"/>
  <c r="D103" i="1" s="1"/>
  <c r="I60" i="1"/>
  <c r="I80" i="1"/>
  <c r="B116" i="1"/>
  <c r="B60" i="12" s="1"/>
  <c r="B112" i="1"/>
  <c r="B55" i="12" s="1"/>
  <c r="A148" i="1"/>
  <c r="B148" i="1" s="1"/>
  <c r="A147" i="1"/>
  <c r="B147" i="1" s="1"/>
  <c r="B111" i="1"/>
  <c r="B56" i="12" s="1"/>
  <c r="B114" i="1"/>
  <c r="B58" i="12" s="1"/>
  <c r="B121" i="10" s="1"/>
  <c r="B115" i="1"/>
  <c r="B59" i="12" s="1"/>
  <c r="I13" i="1"/>
  <c r="I12" i="1"/>
  <c r="A93" i="1"/>
  <c r="A8" i="12" s="1"/>
  <c r="A54" i="10" s="1"/>
  <c r="A92" i="1"/>
  <c r="A7" i="12" s="1"/>
  <c r="A51" i="10" s="1"/>
  <c r="C1" i="5"/>
  <c r="B98" i="3"/>
  <c r="B115" i="13" s="1"/>
  <c r="B94" i="3"/>
  <c r="B116" i="13" s="1"/>
  <c r="A175" i="5"/>
  <c r="A199" i="5"/>
  <c r="A200" i="5"/>
  <c r="A198" i="5"/>
  <c r="A197" i="5"/>
  <c r="A176" i="5"/>
  <c r="A120" i="5"/>
  <c r="A108" i="5"/>
  <c r="I6" i="9"/>
  <c r="I8" i="9"/>
  <c r="B120" i="5" l="1"/>
  <c r="D120" i="5"/>
  <c r="E120" i="5" s="1"/>
  <c r="B108" i="5"/>
  <c r="B123" i="5" s="1"/>
  <c r="D108" i="5"/>
  <c r="C110" i="5"/>
  <c r="C113" i="5"/>
  <c r="C109" i="5"/>
  <c r="D78" i="1"/>
  <c r="C95" i="1"/>
  <c r="B37" i="13"/>
  <c r="C133" i="5"/>
  <c r="D95" i="1"/>
  <c r="D13" i="12" s="1"/>
  <c r="B106" i="10"/>
  <c r="D106" i="10"/>
  <c r="B119" i="10"/>
  <c r="D102" i="10"/>
  <c r="D117" i="10"/>
  <c r="B118" i="10"/>
  <c r="B79" i="10" s="1"/>
  <c r="D116" i="10"/>
  <c r="D109" i="10"/>
  <c r="D105" i="10"/>
  <c r="B105" i="10"/>
  <c r="B123" i="10"/>
  <c r="D118" i="10"/>
  <c r="D79" i="10" s="1"/>
  <c r="B116" i="10"/>
  <c r="D123" i="10"/>
  <c r="D114" i="10"/>
  <c r="D119" i="10"/>
  <c r="B102" i="10"/>
  <c r="D122" i="10"/>
  <c r="B109" i="10"/>
  <c r="B117" i="10"/>
  <c r="A95" i="12"/>
  <c r="A151" i="10" s="1"/>
  <c r="A148" i="13"/>
  <c r="A94" i="12"/>
  <c r="A150" i="10" s="1"/>
  <c r="C201" i="5"/>
  <c r="B197" i="5"/>
  <c r="B61" i="13" s="1"/>
  <c r="D197" i="5"/>
  <c r="D61" i="13" s="1"/>
  <c r="B198" i="5"/>
  <c r="B62" i="13" s="1"/>
  <c r="D198" i="5"/>
  <c r="B200" i="5"/>
  <c r="D200" i="5"/>
  <c r="B199" i="5"/>
  <c r="B63" i="13" s="1"/>
  <c r="D199" i="5"/>
  <c r="D176" i="5"/>
  <c r="B176" i="5"/>
  <c r="B149" i="13" s="1"/>
  <c r="B152" i="10" s="1"/>
  <c r="D175" i="5"/>
  <c r="D148" i="13" s="1"/>
  <c r="B175" i="5"/>
  <c r="B148" i="13" s="1"/>
  <c r="C155" i="5"/>
  <c r="B156" i="5"/>
  <c r="B143" i="5"/>
  <c r="D14" i="5"/>
  <c r="C116" i="5"/>
  <c r="D27" i="10"/>
  <c r="C102" i="1"/>
  <c r="C1" i="12"/>
  <c r="C101" i="1"/>
  <c r="C100" i="1"/>
  <c r="C97" i="1"/>
  <c r="C99" i="1"/>
  <c r="C103" i="1"/>
  <c r="B28" i="10"/>
  <c r="B6" i="10" s="1"/>
  <c r="B34" i="12"/>
  <c r="D30" i="10"/>
  <c r="I4" i="9"/>
  <c r="D92" i="9" s="1"/>
  <c r="D89" i="14" s="1"/>
  <c r="B72" i="9"/>
  <c r="B70" i="14" s="1"/>
  <c r="C132" i="5"/>
  <c r="C134" i="5"/>
  <c r="C140" i="5"/>
  <c r="D69" i="5"/>
  <c r="B30" i="10"/>
  <c r="D100" i="1"/>
  <c r="C96" i="1"/>
  <c r="D96" i="1"/>
  <c r="C98" i="1"/>
  <c r="C104" i="1"/>
  <c r="C105" i="1"/>
  <c r="D115" i="1"/>
  <c r="D59" i="12" s="1"/>
  <c r="D98" i="1"/>
  <c r="D111" i="1"/>
  <c r="D56" i="12" s="1"/>
  <c r="D114" i="1"/>
  <c r="D58" i="12" s="1"/>
  <c r="D121" i="10" s="1"/>
  <c r="D102" i="1"/>
  <c r="D60" i="2"/>
  <c r="D14" i="12" s="1"/>
  <c r="D58" i="2"/>
  <c r="D11" i="12" s="1"/>
  <c r="B114" i="2"/>
  <c r="D114" i="2"/>
  <c r="B115" i="2"/>
  <c r="D62" i="2"/>
  <c r="D57" i="2"/>
  <c r="D10" i="12" s="1"/>
  <c r="D59" i="2"/>
  <c r="D12" i="12" s="1"/>
  <c r="B67" i="2"/>
  <c r="D112" i="1"/>
  <c r="D55" i="12" s="1"/>
  <c r="B117" i="1"/>
  <c r="B61" i="12" s="1"/>
  <c r="D117" i="1"/>
  <c r="D61" i="12" s="1"/>
  <c r="D108" i="10" s="1"/>
  <c r="B119" i="1"/>
  <c r="B63" i="12" s="1"/>
  <c r="D119" i="1"/>
  <c r="D63" i="12" s="1"/>
  <c r="B120" i="1"/>
  <c r="B64" i="12" s="1"/>
  <c r="D120" i="1"/>
  <c r="D64" i="12" s="1"/>
  <c r="D120" i="10" s="1"/>
  <c r="B121" i="1"/>
  <c r="B65" i="12" s="1"/>
  <c r="D121" i="1"/>
  <c r="D65" i="12" s="1"/>
  <c r="D104" i="10" s="1"/>
  <c r="D17" i="1"/>
  <c r="B93" i="1"/>
  <c r="B8" i="12" s="1"/>
  <c r="B54" i="10" s="1"/>
  <c r="D93" i="1"/>
  <c r="D8" i="12" s="1"/>
  <c r="D54" i="10" s="1"/>
  <c r="B94" i="1"/>
  <c r="B9" i="12" s="1"/>
  <c r="D94" i="1"/>
  <c r="D9" i="12" s="1"/>
  <c r="D56" i="10" s="1"/>
  <c r="B92" i="1"/>
  <c r="D35" i="2"/>
  <c r="D47" i="2"/>
  <c r="B110" i="1"/>
  <c r="B53" i="12" s="1"/>
  <c r="B101" i="10" s="1"/>
  <c r="I36" i="2"/>
  <c r="D63" i="2" s="1"/>
  <c r="I42" i="2"/>
  <c r="D66" i="2" s="1"/>
  <c r="I33" i="2"/>
  <c r="D61" i="2" s="1"/>
  <c r="D15" i="12" s="1"/>
  <c r="I74" i="1"/>
  <c r="D101" i="5"/>
  <c r="D102" i="5"/>
  <c r="D103" i="5"/>
  <c r="D100" i="5"/>
  <c r="B129" i="1"/>
  <c r="B75" i="12" s="1"/>
  <c r="I5" i="1"/>
  <c r="D92" i="1" s="1"/>
  <c r="D7" i="12" s="1"/>
  <c r="I76" i="1"/>
  <c r="B130" i="1"/>
  <c r="B76" i="12" s="1"/>
  <c r="B113" i="1"/>
  <c r="B57" i="12" s="1"/>
  <c r="D91" i="5"/>
  <c r="D45" i="5"/>
  <c r="D92" i="5"/>
  <c r="D47" i="5"/>
  <c r="D99" i="5"/>
  <c r="D98" i="5"/>
  <c r="D93" i="5"/>
  <c r="D97" i="5"/>
  <c r="D90" i="5"/>
  <c r="D89" i="5"/>
  <c r="D84" i="5"/>
  <c r="D88" i="5"/>
  <c r="D29" i="5"/>
  <c r="D26" i="5"/>
  <c r="D87" i="5"/>
  <c r="D86" i="5"/>
  <c r="D42" i="5"/>
  <c r="D85" i="5"/>
  <c r="D83" i="5"/>
  <c r="D82" i="5"/>
  <c r="D96" i="5"/>
  <c r="D41" i="5"/>
  <c r="D81" i="5"/>
  <c r="D40" i="5"/>
  <c r="D80" i="5"/>
  <c r="D24" i="5"/>
  <c r="D79" i="5"/>
  <c r="D13" i="5"/>
  <c r="D28" i="5"/>
  <c r="D18" i="5"/>
  <c r="D78" i="5"/>
  <c r="D39" i="5"/>
  <c r="D77" i="5"/>
  <c r="D38" i="5"/>
  <c r="D25" i="5"/>
  <c r="D62" i="5"/>
  <c r="D37" i="5"/>
  <c r="D76" i="5"/>
  <c r="D36" i="5"/>
  <c r="D35" i="5"/>
  <c r="D75" i="5"/>
  <c r="D95" i="5"/>
  <c r="D94" i="5"/>
  <c r="D74" i="5"/>
  <c r="D34" i="5"/>
  <c r="C137" i="5"/>
  <c r="C139" i="5"/>
  <c r="C142" i="5"/>
  <c r="C141" i="5"/>
  <c r="C114" i="5"/>
  <c r="D43" i="5"/>
  <c r="D10" i="5"/>
  <c r="D71" i="5"/>
  <c r="D70" i="5"/>
  <c r="D73" i="5"/>
  <c r="D56" i="5"/>
  <c r="D58" i="5"/>
  <c r="D57" i="5"/>
  <c r="D33" i="5"/>
  <c r="D59" i="5"/>
  <c r="D32" i="5"/>
  <c r="D53" i="5"/>
  <c r="D30" i="5"/>
  <c r="D23" i="5"/>
  <c r="D15" i="5"/>
  <c r="D12" i="5"/>
  <c r="D46" i="5"/>
  <c r="D61" i="5"/>
  <c r="D44" i="5"/>
  <c r="D11" i="5"/>
  <c r="D72" i="5"/>
  <c r="D63" i="5"/>
  <c r="D64" i="5"/>
  <c r="D65" i="5"/>
  <c r="D66" i="5"/>
  <c r="D67" i="5"/>
  <c r="D68" i="5"/>
  <c r="B66" i="8"/>
  <c r="B65" i="8"/>
  <c r="B63" i="8"/>
  <c r="B47" i="8"/>
  <c r="D47" i="8" s="1"/>
  <c r="A46" i="8"/>
  <c r="B46" i="8" s="1"/>
  <c r="D46" i="8" s="1"/>
  <c r="B45" i="8"/>
  <c r="D45" i="8" s="1"/>
  <c r="B64" i="8"/>
  <c r="A44" i="8"/>
  <c r="B44" i="8" s="1"/>
  <c r="B31" i="9"/>
  <c r="A30" i="9"/>
  <c r="A7" i="14" s="1"/>
  <c r="B52" i="9"/>
  <c r="B79" i="7"/>
  <c r="D79" i="7" s="1"/>
  <c r="B61" i="7"/>
  <c r="B60" i="7"/>
  <c r="A46" i="7"/>
  <c r="B46" i="7" s="1"/>
  <c r="D46" i="7" s="1"/>
  <c r="A47" i="7"/>
  <c r="B47" i="7" s="1"/>
  <c r="D47" i="7" s="1"/>
  <c r="A43" i="7"/>
  <c r="B43" i="7" s="1"/>
  <c r="D43" i="7" s="1"/>
  <c r="A42" i="7"/>
  <c r="B42" i="7" s="1"/>
  <c r="D42" i="7" s="1"/>
  <c r="A41" i="7"/>
  <c r="B41" i="7" s="1"/>
  <c r="D41" i="7" s="1"/>
  <c r="A40" i="7"/>
  <c r="B40" i="7" s="1"/>
  <c r="D40" i="7" s="1"/>
  <c r="C1" i="8"/>
  <c r="B30" i="14" s="1"/>
  <c r="B107" i="3"/>
  <c r="B128" i="13" s="1"/>
  <c r="B90" i="3"/>
  <c r="B106" i="13" s="1"/>
  <c r="B88" i="3"/>
  <c r="B104" i="13" s="1"/>
  <c r="B91" i="3"/>
  <c r="B112" i="13" s="1"/>
  <c r="B111" i="10" s="1"/>
  <c r="B97" i="3"/>
  <c r="B114" i="13" s="1"/>
  <c r="B96" i="3"/>
  <c r="B111" i="13" s="1"/>
  <c r="B93" i="3"/>
  <c r="B102" i="13" s="1"/>
  <c r="B95" i="3"/>
  <c r="B120" i="13" s="1"/>
  <c r="B122" i="10" s="1"/>
  <c r="B92" i="3"/>
  <c r="B110" i="13" s="1"/>
  <c r="A71" i="3"/>
  <c r="A8" i="13" s="1"/>
  <c r="A53" i="10" s="1"/>
  <c r="A70" i="3"/>
  <c r="A69" i="3"/>
  <c r="B51" i="9"/>
  <c r="B48" i="14" s="1"/>
  <c r="B59" i="7"/>
  <c r="C1" i="3"/>
  <c r="C63" i="12" l="1"/>
  <c r="C61" i="12"/>
  <c r="C65" i="12"/>
  <c r="B16" i="12"/>
  <c r="C16" i="12" s="1"/>
  <c r="A7" i="13"/>
  <c r="A52" i="10" s="1"/>
  <c r="B69" i="3"/>
  <c r="B7" i="13" s="1"/>
  <c r="D70" i="3"/>
  <c r="D9" i="13" s="1"/>
  <c r="A9" i="13"/>
  <c r="D123" i="5"/>
  <c r="E108" i="5"/>
  <c r="C9" i="12"/>
  <c r="B56" i="10"/>
  <c r="C14" i="12"/>
  <c r="C60" i="12"/>
  <c r="C13" i="12"/>
  <c r="B81" i="13"/>
  <c r="C64" i="12"/>
  <c r="C8" i="12"/>
  <c r="E200" i="5"/>
  <c r="D64" i="13"/>
  <c r="B114" i="10"/>
  <c r="D31" i="9"/>
  <c r="D8" i="14" s="1"/>
  <c r="B8" i="14"/>
  <c r="D64" i="8"/>
  <c r="D51" i="14" s="1"/>
  <c r="B51" i="14"/>
  <c r="D65" i="8"/>
  <c r="D52" i="14" s="1"/>
  <c r="B52" i="14"/>
  <c r="B110" i="10" s="1"/>
  <c r="C200" i="5"/>
  <c r="B64" i="13"/>
  <c r="A10" i="14"/>
  <c r="E198" i="5"/>
  <c r="D62" i="13"/>
  <c r="D11" i="14"/>
  <c r="B11" i="14"/>
  <c r="D63" i="8"/>
  <c r="D49" i="14" s="1"/>
  <c r="B49" i="14"/>
  <c r="D66" i="8"/>
  <c r="D53" i="14" s="1"/>
  <c r="B53" i="14"/>
  <c r="B126" i="3"/>
  <c r="B57" i="13"/>
  <c r="B35" i="13"/>
  <c r="E199" i="5"/>
  <c r="D63" i="13"/>
  <c r="B80" i="13"/>
  <c r="D52" i="9"/>
  <c r="D50" i="14" s="1"/>
  <c r="D98" i="10" s="1"/>
  <c r="B50" i="14"/>
  <c r="E176" i="5"/>
  <c r="D149" i="13"/>
  <c r="D152" i="10" s="1"/>
  <c r="B78" i="10"/>
  <c r="D77" i="10"/>
  <c r="B120" i="10"/>
  <c r="D78" i="10"/>
  <c r="B108" i="10"/>
  <c r="E1" i="1"/>
  <c r="I1" i="1" s="1"/>
  <c r="C57" i="12"/>
  <c r="B115" i="10"/>
  <c r="B104" i="10"/>
  <c r="D61" i="7"/>
  <c r="D110" i="10" s="1"/>
  <c r="D59" i="7"/>
  <c r="D107" i="10" s="1"/>
  <c r="B107" i="10"/>
  <c r="D60" i="7"/>
  <c r="D103" i="10" s="1"/>
  <c r="B103" i="10"/>
  <c r="C75" i="12"/>
  <c r="C76" i="12"/>
  <c r="B130" i="10"/>
  <c r="B202" i="5"/>
  <c r="B95" i="12"/>
  <c r="B151" i="10" s="1"/>
  <c r="B94" i="12"/>
  <c r="E197" i="5"/>
  <c r="D202" i="5"/>
  <c r="C122" i="5"/>
  <c r="B177" i="5"/>
  <c r="E175" i="5"/>
  <c r="D177" i="5"/>
  <c r="D98" i="6"/>
  <c r="B27" i="10"/>
  <c r="C53" i="12"/>
  <c r="D96" i="2"/>
  <c r="C11" i="12"/>
  <c r="C1" i="13"/>
  <c r="C10" i="12"/>
  <c r="B36" i="12"/>
  <c r="D148" i="1"/>
  <c r="C15" i="12"/>
  <c r="C12" i="12"/>
  <c r="C58" i="12"/>
  <c r="C55" i="12"/>
  <c r="C59" i="12"/>
  <c r="C56" i="12"/>
  <c r="B104" i="8"/>
  <c r="C103" i="8"/>
  <c r="C84" i="8"/>
  <c r="B86" i="8"/>
  <c r="C85" i="8"/>
  <c r="D72" i="9"/>
  <c r="D70" i="14" s="1"/>
  <c r="D51" i="9"/>
  <c r="D48" i="14" s="1"/>
  <c r="D100" i="10" s="1"/>
  <c r="C125" i="3"/>
  <c r="C78" i="3"/>
  <c r="D69" i="3"/>
  <c r="D7" i="13" s="1"/>
  <c r="B71" i="3"/>
  <c r="D71" i="3"/>
  <c r="B70" i="3"/>
  <c r="B9" i="13" s="1"/>
  <c r="E1" i="3"/>
  <c r="C79" i="3"/>
  <c r="B33" i="10"/>
  <c r="E1" i="8"/>
  <c r="B77" i="12"/>
  <c r="D35" i="3"/>
  <c r="B26" i="10"/>
  <c r="D105" i="1"/>
  <c r="D147" i="1"/>
  <c r="B7" i="12"/>
  <c r="B106" i="1"/>
  <c r="D130" i="1"/>
  <c r="D97" i="1"/>
  <c r="D78" i="2"/>
  <c r="D62" i="12" s="1"/>
  <c r="D113" i="10" s="1"/>
  <c r="D97" i="2"/>
  <c r="D77" i="2"/>
  <c r="D54" i="12" s="1"/>
  <c r="D115" i="2"/>
  <c r="E1" i="2"/>
  <c r="E65" i="2" s="1"/>
  <c r="D129" i="1"/>
  <c r="D113" i="1"/>
  <c r="D110" i="1"/>
  <c r="D53" i="12" s="1"/>
  <c r="D101" i="10" s="1"/>
  <c r="D116" i="1"/>
  <c r="D49" i="6"/>
  <c r="D97" i="6"/>
  <c r="D25" i="6"/>
  <c r="D96" i="6"/>
  <c r="D68" i="6"/>
  <c r="D11" i="6"/>
  <c r="D27" i="6"/>
  <c r="D115" i="6"/>
  <c r="D117" i="6"/>
  <c r="D116" i="6"/>
  <c r="D91" i="6"/>
  <c r="D92" i="6"/>
  <c r="D90" i="6"/>
  <c r="D89" i="6"/>
  <c r="D41" i="6"/>
  <c r="D10" i="6"/>
  <c r="D107" i="6"/>
  <c r="D110" i="6"/>
  <c r="D88" i="6"/>
  <c r="D118" i="6"/>
  <c r="D104" i="6"/>
  <c r="D87" i="6"/>
  <c r="D86" i="6"/>
  <c r="D85" i="6"/>
  <c r="D123" i="6"/>
  <c r="D84" i="6"/>
  <c r="D82" i="6"/>
  <c r="D83" i="6"/>
  <c r="D114" i="6"/>
  <c r="D95" i="6"/>
  <c r="D80" i="6"/>
  <c r="D81" i="6"/>
  <c r="D79" i="6"/>
  <c r="D33" i="6"/>
  <c r="D28" i="6"/>
  <c r="D17" i="6"/>
  <c r="D9" i="6"/>
  <c r="D78" i="6"/>
  <c r="D76" i="6"/>
  <c r="D48" i="6"/>
  <c r="D15" i="6"/>
  <c r="D26" i="6"/>
  <c r="D77" i="6"/>
  <c r="D29" i="6"/>
  <c r="D47" i="6"/>
  <c r="D75" i="6"/>
  <c r="D93" i="6"/>
  <c r="D73" i="6"/>
  <c r="D112" i="6"/>
  <c r="D70" i="6"/>
  <c r="D24" i="6"/>
  <c r="D12" i="6"/>
  <c r="D111" i="6"/>
  <c r="D109" i="6"/>
  <c r="D125" i="6"/>
  <c r="D102" i="6"/>
  <c r="D120" i="6"/>
  <c r="D39" i="6"/>
  <c r="D71" i="6"/>
  <c r="D121" i="6"/>
  <c r="D72" i="6"/>
  <c r="D46" i="6"/>
  <c r="D113" i="6"/>
  <c r="D103" i="6"/>
  <c r="D69" i="6"/>
  <c r="D119" i="6"/>
  <c r="D43" i="6"/>
  <c r="D14" i="6"/>
  <c r="D99" i="6"/>
  <c r="D36" i="6"/>
  <c r="D67" i="6"/>
  <c r="D65" i="6"/>
  <c r="D66" i="6"/>
  <c r="D23" i="6"/>
  <c r="D64" i="6"/>
  <c r="D7" i="6"/>
  <c r="D75" i="1"/>
  <c r="C94" i="3"/>
  <c r="D41" i="3"/>
  <c r="C94" i="1"/>
  <c r="D87" i="1"/>
  <c r="D58" i="1"/>
  <c r="D86" i="1"/>
  <c r="D84" i="1"/>
  <c r="D85" i="1"/>
  <c r="D82" i="1"/>
  <c r="D83" i="1"/>
  <c r="D79" i="1"/>
  <c r="D59" i="1"/>
  <c r="D54" i="1"/>
  <c r="D73" i="1"/>
  <c r="D42" i="1"/>
  <c r="D41" i="1"/>
  <c r="D72" i="1"/>
  <c r="D80" i="1"/>
  <c r="D71" i="1"/>
  <c r="B122" i="1"/>
  <c r="D70" i="1"/>
  <c r="D60" i="1"/>
  <c r="D66" i="1"/>
  <c r="D68" i="1"/>
  <c r="D67" i="1"/>
  <c r="D63" i="1"/>
  <c r="D62" i="1"/>
  <c r="D57" i="1"/>
  <c r="D64" i="1"/>
  <c r="D53" i="1"/>
  <c r="D56" i="1"/>
  <c r="D55" i="1"/>
  <c r="D38" i="1"/>
  <c r="D37" i="1"/>
  <c r="D36" i="1"/>
  <c r="D35" i="1"/>
  <c r="D34" i="1"/>
  <c r="D33" i="1"/>
  <c r="D31" i="1"/>
  <c r="D32" i="1"/>
  <c r="D29" i="1"/>
  <c r="D30" i="1"/>
  <c r="D27" i="1"/>
  <c r="D28" i="1"/>
  <c r="D65" i="1"/>
  <c r="D25" i="1"/>
  <c r="D26" i="1"/>
  <c r="D52" i="1"/>
  <c r="D51" i="1"/>
  <c r="D22" i="1"/>
  <c r="D24" i="1"/>
  <c r="D23" i="1"/>
  <c r="D21" i="1"/>
  <c r="D20" i="1"/>
  <c r="D19" i="1"/>
  <c r="D18" i="1"/>
  <c r="D48" i="1"/>
  <c r="D50" i="1"/>
  <c r="D49" i="1"/>
  <c r="B149" i="1"/>
  <c r="D16" i="1"/>
  <c r="D15" i="1"/>
  <c r="C114" i="1"/>
  <c r="D12" i="1"/>
  <c r="D13" i="1"/>
  <c r="D43" i="1"/>
  <c r="C130" i="1"/>
  <c r="C112" i="1"/>
  <c r="C148" i="1"/>
  <c r="C119" i="1"/>
  <c r="C92" i="1"/>
  <c r="D44" i="1"/>
  <c r="D7" i="1"/>
  <c r="D40" i="1"/>
  <c r="C111" i="1"/>
  <c r="C118" i="1"/>
  <c r="C110" i="1"/>
  <c r="C116" i="1"/>
  <c r="C129" i="1"/>
  <c r="C147" i="1"/>
  <c r="C121" i="1"/>
  <c r="C115" i="1"/>
  <c r="C120" i="1"/>
  <c r="C113" i="1"/>
  <c r="B131" i="1"/>
  <c r="C117" i="1"/>
  <c r="D47" i="1"/>
  <c r="D46" i="1"/>
  <c r="D11" i="1"/>
  <c r="D45" i="1"/>
  <c r="D8" i="1"/>
  <c r="D10" i="1"/>
  <c r="D9" i="1"/>
  <c r="D6" i="1"/>
  <c r="D14" i="1"/>
  <c r="D6" i="6"/>
  <c r="D5" i="6"/>
  <c r="C98" i="3"/>
  <c r="C97" i="3"/>
  <c r="D19" i="3"/>
  <c r="D61" i="3"/>
  <c r="D56" i="3"/>
  <c r="D60" i="3"/>
  <c r="D63" i="3"/>
  <c r="D55" i="3"/>
  <c r="D62" i="3"/>
  <c r="D59" i="3"/>
  <c r="D42" i="3"/>
  <c r="D50" i="3"/>
  <c r="D58" i="3"/>
  <c r="D52" i="3"/>
  <c r="D43" i="3"/>
  <c r="D36" i="3"/>
  <c r="D22" i="3"/>
  <c r="D54" i="3"/>
  <c r="D53" i="3"/>
  <c r="D14" i="3"/>
  <c r="C199" i="5"/>
  <c r="C176" i="5"/>
  <c r="C108" i="5"/>
  <c r="C135" i="5"/>
  <c r="C138" i="5"/>
  <c r="C197" i="5"/>
  <c r="C117" i="5"/>
  <c r="C154" i="5"/>
  <c r="C112" i="5"/>
  <c r="C115" i="5"/>
  <c r="C111" i="5"/>
  <c r="C118" i="5"/>
  <c r="C153" i="5"/>
  <c r="C119" i="5"/>
  <c r="C136" i="5"/>
  <c r="C120" i="5"/>
  <c r="C175" i="5"/>
  <c r="C121" i="5"/>
  <c r="C198" i="5"/>
  <c r="D52" i="5"/>
  <c r="D51" i="5"/>
  <c r="D27" i="5"/>
  <c r="D22" i="5"/>
  <c r="D16" i="5"/>
  <c r="D54" i="5"/>
  <c r="D9" i="5"/>
  <c r="D19" i="5"/>
  <c r="D8" i="5"/>
  <c r="D50" i="5"/>
  <c r="D5" i="5"/>
  <c r="D20" i="5"/>
  <c r="D4" i="5"/>
  <c r="D7" i="5"/>
  <c r="D45" i="3"/>
  <c r="D64" i="3"/>
  <c r="D29" i="3"/>
  <c r="C48" i="8"/>
  <c r="C64" i="8"/>
  <c r="B49" i="8"/>
  <c r="C65" i="8"/>
  <c r="C46" i="8"/>
  <c r="C47" i="8"/>
  <c r="B30" i="9"/>
  <c r="C45" i="8"/>
  <c r="B67" i="8"/>
  <c r="B78" i="7"/>
  <c r="D78" i="7" s="1"/>
  <c r="C66" i="8"/>
  <c r="C44" i="8"/>
  <c r="C63" i="8"/>
  <c r="C1" i="9"/>
  <c r="D19" i="9" s="1"/>
  <c r="C1" i="7"/>
  <c r="B106" i="3"/>
  <c r="B89" i="3"/>
  <c r="B105" i="13" s="1"/>
  <c r="B87" i="3"/>
  <c r="B101" i="13" s="1"/>
  <c r="D8" i="13" l="1"/>
  <c r="D53" i="10" s="1"/>
  <c r="E71" i="3"/>
  <c r="B8" i="13"/>
  <c r="B53" i="10" s="1"/>
  <c r="C71" i="3"/>
  <c r="B98" i="10"/>
  <c r="B7" i="14"/>
  <c r="B34" i="9"/>
  <c r="D52" i="10"/>
  <c r="B51" i="10"/>
  <c r="B17" i="12"/>
  <c r="D16" i="12"/>
  <c r="E1" i="12"/>
  <c r="B52" i="10"/>
  <c r="E95" i="1"/>
  <c r="C15" i="13"/>
  <c r="C11" i="13"/>
  <c r="C14" i="13"/>
  <c r="B112" i="10"/>
  <c r="D112" i="10"/>
  <c r="D57" i="13"/>
  <c r="D35" i="13"/>
  <c r="C1" i="14"/>
  <c r="C49" i="14" s="1"/>
  <c r="B29" i="14"/>
  <c r="D104" i="8"/>
  <c r="D30" i="14"/>
  <c r="B79" i="13"/>
  <c r="C79" i="13" s="1"/>
  <c r="B100" i="10"/>
  <c r="B108" i="3"/>
  <c r="B127" i="13"/>
  <c r="B129" i="10" s="1"/>
  <c r="B38" i="13"/>
  <c r="D99" i="10"/>
  <c r="D44" i="8"/>
  <c r="D10" i="14" s="1"/>
  <c r="B10" i="14"/>
  <c r="B77" i="10"/>
  <c r="C95" i="12"/>
  <c r="C94" i="12"/>
  <c r="B150" i="10"/>
  <c r="B96" i="12"/>
  <c r="C62" i="13"/>
  <c r="C59" i="13"/>
  <c r="C60" i="13"/>
  <c r="C64" i="13"/>
  <c r="B66" i="13"/>
  <c r="C63" i="13"/>
  <c r="C65" i="13"/>
  <c r="C58" i="13"/>
  <c r="C61" i="13"/>
  <c r="C148" i="13"/>
  <c r="C149" i="13"/>
  <c r="C57" i="13"/>
  <c r="B150" i="13"/>
  <c r="D94" i="12"/>
  <c r="D150" i="10" s="1"/>
  <c r="C129" i="13"/>
  <c r="C128" i="13"/>
  <c r="C82" i="13"/>
  <c r="B122" i="13"/>
  <c r="C114" i="13"/>
  <c r="C117" i="13"/>
  <c r="C120" i="13"/>
  <c r="C111" i="13"/>
  <c r="C107" i="13"/>
  <c r="C116" i="13"/>
  <c r="C108" i="13"/>
  <c r="C102" i="13"/>
  <c r="C115" i="13"/>
  <c r="C119" i="13"/>
  <c r="C81" i="13"/>
  <c r="C106" i="13"/>
  <c r="C109" i="13"/>
  <c r="C80" i="13"/>
  <c r="C113" i="13"/>
  <c r="C112" i="13"/>
  <c r="C110" i="13"/>
  <c r="C118" i="13"/>
  <c r="C103" i="13"/>
  <c r="C121" i="13"/>
  <c r="C101" i="13"/>
  <c r="C104" i="13"/>
  <c r="C37" i="13"/>
  <c r="C36" i="13"/>
  <c r="C35" i="13"/>
  <c r="C9" i="13"/>
  <c r="C10" i="13"/>
  <c r="C16" i="13"/>
  <c r="C8" i="13"/>
  <c r="C13" i="13"/>
  <c r="C7" i="13"/>
  <c r="C12" i="13"/>
  <c r="C105" i="13"/>
  <c r="E115" i="2"/>
  <c r="D75" i="12"/>
  <c r="D129" i="10" s="1"/>
  <c r="D76" i="12"/>
  <c r="D130" i="10" s="1"/>
  <c r="D35" i="12"/>
  <c r="D32" i="10"/>
  <c r="D95" i="12"/>
  <c r="D151" i="10" s="1"/>
  <c r="E46" i="7"/>
  <c r="B100" i="7"/>
  <c r="C99" i="7"/>
  <c r="B93" i="9"/>
  <c r="C92" i="9"/>
  <c r="D126" i="3"/>
  <c r="E1" i="13"/>
  <c r="D17" i="13" s="1"/>
  <c r="E97" i="1"/>
  <c r="D28" i="10"/>
  <c r="D34" i="12"/>
  <c r="E103" i="8"/>
  <c r="D67" i="8"/>
  <c r="E85" i="8"/>
  <c r="D86" i="8"/>
  <c r="E84" i="8"/>
  <c r="E46" i="8"/>
  <c r="E64" i="8"/>
  <c r="E66" i="8"/>
  <c r="E65" i="8"/>
  <c r="E63" i="8"/>
  <c r="D33" i="10"/>
  <c r="E48" i="8"/>
  <c r="E45" i="8"/>
  <c r="E47" i="8"/>
  <c r="B53" i="9"/>
  <c r="C73" i="9"/>
  <c r="B74" i="9"/>
  <c r="C72" i="9"/>
  <c r="D30" i="9"/>
  <c r="D7" i="14" s="1"/>
  <c r="D51" i="10" s="1"/>
  <c r="B29" i="10"/>
  <c r="B7" i="10" s="1"/>
  <c r="C33" i="9"/>
  <c r="E48" i="7"/>
  <c r="E45" i="7"/>
  <c r="E44" i="7"/>
  <c r="E40" i="7"/>
  <c r="E47" i="7"/>
  <c r="E43" i="7"/>
  <c r="E42" i="7"/>
  <c r="E41" i="7"/>
  <c r="E107" i="3"/>
  <c r="E125" i="3"/>
  <c r="D108" i="3"/>
  <c r="E106" i="3"/>
  <c r="D99" i="3"/>
  <c r="E89" i="3"/>
  <c r="E87" i="3"/>
  <c r="E97" i="3"/>
  <c r="E90" i="3"/>
  <c r="E88" i="3"/>
  <c r="E98" i="3"/>
  <c r="E96" i="3"/>
  <c r="E92" i="3"/>
  <c r="E95" i="3"/>
  <c r="E94" i="3"/>
  <c r="E91" i="3"/>
  <c r="E93" i="3"/>
  <c r="E69" i="3"/>
  <c r="D80" i="3"/>
  <c r="I1" i="3"/>
  <c r="E79" i="3"/>
  <c r="E76" i="3"/>
  <c r="E77" i="3"/>
  <c r="E72" i="3"/>
  <c r="E74" i="3"/>
  <c r="E73" i="3"/>
  <c r="E75" i="3"/>
  <c r="E78" i="3"/>
  <c r="E70" i="3"/>
  <c r="B80" i="3"/>
  <c r="B1" i="10"/>
  <c r="C48" i="7"/>
  <c r="B31" i="10"/>
  <c r="B8" i="10" s="1"/>
  <c r="E113" i="1"/>
  <c r="D57" i="12"/>
  <c r="D115" i="10" s="1"/>
  <c r="D75" i="10" s="1"/>
  <c r="E116" i="1"/>
  <c r="D60" i="12"/>
  <c r="D111" i="10" s="1"/>
  <c r="D26" i="10"/>
  <c r="B5" i="10"/>
  <c r="E147" i="1"/>
  <c r="E92" i="1"/>
  <c r="E103" i="1"/>
  <c r="E96" i="1"/>
  <c r="E99" i="1"/>
  <c r="E104" i="1"/>
  <c r="E100" i="1"/>
  <c r="E101" i="1"/>
  <c r="C7" i="12"/>
  <c r="E102" i="1"/>
  <c r="E98" i="1"/>
  <c r="E148" i="1"/>
  <c r="E97" i="2"/>
  <c r="E114" i="2"/>
  <c r="D116" i="2"/>
  <c r="E78" i="2"/>
  <c r="E96" i="2"/>
  <c r="D98" i="2"/>
  <c r="D79" i="2"/>
  <c r="E77" i="2"/>
  <c r="I1" i="2"/>
  <c r="E64" i="2"/>
  <c r="E60" i="2"/>
  <c r="E58" i="2"/>
  <c r="E59" i="2"/>
  <c r="E57" i="2"/>
  <c r="E62" i="2"/>
  <c r="E66" i="2"/>
  <c r="E63" i="2"/>
  <c r="D67" i="2"/>
  <c r="E61" i="2"/>
  <c r="E129" i="1"/>
  <c r="D131" i="1"/>
  <c r="E130" i="1"/>
  <c r="E110" i="1"/>
  <c r="D122" i="1"/>
  <c r="E115" i="1"/>
  <c r="E111" i="1"/>
  <c r="E114" i="1"/>
  <c r="E118" i="1"/>
  <c r="E112" i="1"/>
  <c r="E117" i="1"/>
  <c r="E120" i="1"/>
  <c r="E119" i="1"/>
  <c r="E121" i="1"/>
  <c r="E105" i="1"/>
  <c r="E93" i="1"/>
  <c r="E94" i="1"/>
  <c r="C42" i="7"/>
  <c r="E1" i="7"/>
  <c r="D11" i="9"/>
  <c r="E1" i="9"/>
  <c r="B99" i="3"/>
  <c r="C31" i="9"/>
  <c r="C32" i="9"/>
  <c r="C52" i="9"/>
  <c r="B80" i="7"/>
  <c r="B62" i="7"/>
  <c r="C51" i="9"/>
  <c r="C30" i="9"/>
  <c r="C78" i="7"/>
  <c r="C79" i="7"/>
  <c r="C61" i="7"/>
  <c r="C60" i="7"/>
  <c r="C59" i="7"/>
  <c r="C46" i="7"/>
  <c r="C40" i="7"/>
  <c r="C43" i="7"/>
  <c r="C41" i="7"/>
  <c r="C44" i="7"/>
  <c r="C47" i="7"/>
  <c r="C45" i="7"/>
  <c r="D60" i="5"/>
  <c r="D6" i="5"/>
  <c r="D17" i="5"/>
  <c r="D55" i="5"/>
  <c r="D49" i="5"/>
  <c r="D31" i="5"/>
  <c r="D48" i="5"/>
  <c r="D21" i="5"/>
  <c r="D61" i="1"/>
  <c r="D69" i="1"/>
  <c r="D74" i="1"/>
  <c r="D76" i="1"/>
  <c r="D4" i="1"/>
  <c r="D5" i="1"/>
  <c r="D81" i="1"/>
  <c r="D39" i="1"/>
  <c r="D34" i="6"/>
  <c r="D53" i="6"/>
  <c r="D57" i="6"/>
  <c r="D42" i="6"/>
  <c r="D94" i="6"/>
  <c r="D31" i="6"/>
  <c r="D106" i="6"/>
  <c r="D8" i="6"/>
  <c r="D21" i="6"/>
  <c r="D108" i="6"/>
  <c r="D19" i="6"/>
  <c r="D50" i="6"/>
  <c r="D101" i="6"/>
  <c r="D61" i="6"/>
  <c r="D45" i="6"/>
  <c r="D32" i="6"/>
  <c r="D44" i="6"/>
  <c r="D62" i="6"/>
  <c r="D35" i="6"/>
  <c r="D22" i="6"/>
  <c r="D58" i="6"/>
  <c r="D60" i="6"/>
  <c r="D124" i="6"/>
  <c r="D37" i="6"/>
  <c r="D20" i="6"/>
  <c r="D100" i="6"/>
  <c r="D18" i="6"/>
  <c r="D51" i="6"/>
  <c r="D59" i="6"/>
  <c r="D105" i="6"/>
  <c r="D63" i="6"/>
  <c r="D52" i="6"/>
  <c r="D40" i="6"/>
  <c r="D54" i="6"/>
  <c r="D55" i="6"/>
  <c r="D38" i="6"/>
  <c r="D56" i="6"/>
  <c r="D30" i="6"/>
  <c r="D16" i="6"/>
  <c r="D5" i="9"/>
  <c r="D17" i="9"/>
  <c r="D18" i="9"/>
  <c r="D9" i="9"/>
  <c r="D10" i="9"/>
  <c r="D12" i="9"/>
  <c r="D23" i="9"/>
  <c r="D6" i="9"/>
  <c r="D4" i="9"/>
  <c r="D24" i="9"/>
  <c r="D25" i="9"/>
  <c r="D26" i="9"/>
  <c r="D16" i="9"/>
  <c r="D7" i="9"/>
  <c r="D20" i="9"/>
  <c r="D22" i="9"/>
  <c r="D21" i="9"/>
  <c r="D13" i="9"/>
  <c r="D14" i="9"/>
  <c r="D8" i="9"/>
  <c r="D15" i="9"/>
  <c r="D9" i="8"/>
  <c r="D19" i="8"/>
  <c r="D34" i="8"/>
  <c r="D17" i="8"/>
  <c r="D23" i="8"/>
  <c r="D29" i="8"/>
  <c r="D18" i="8"/>
  <c r="D12" i="8"/>
  <c r="D28" i="8"/>
  <c r="D10" i="8"/>
  <c r="D25" i="8"/>
  <c r="D30" i="8"/>
  <c r="D20" i="8"/>
  <c r="D37" i="8"/>
  <c r="D8" i="8"/>
  <c r="D38" i="8"/>
  <c r="D35" i="8"/>
  <c r="D27" i="8"/>
  <c r="D16" i="8"/>
  <c r="D4" i="8"/>
  <c r="D33" i="8"/>
  <c r="D14" i="8"/>
  <c r="D11" i="8"/>
  <c r="D26" i="8"/>
  <c r="D31" i="8"/>
  <c r="D22" i="8"/>
  <c r="D21" i="8"/>
  <c r="D5" i="8"/>
  <c r="D39" i="8"/>
  <c r="D13" i="8"/>
  <c r="D24" i="8"/>
  <c r="D7" i="8"/>
  <c r="D32" i="8"/>
  <c r="D36" i="8"/>
  <c r="D15" i="8"/>
  <c r="D6" i="8"/>
  <c r="D9" i="7"/>
  <c r="D26" i="7"/>
  <c r="D31" i="7"/>
  <c r="D24" i="7"/>
  <c r="D28" i="7"/>
  <c r="D18" i="7"/>
  <c r="D7" i="7"/>
  <c r="D8" i="7"/>
  <c r="D12" i="7"/>
  <c r="D34" i="7"/>
  <c r="D25" i="7"/>
  <c r="D5" i="7"/>
  <c r="D27" i="7"/>
  <c r="D32" i="7"/>
  <c r="D17" i="7"/>
  <c r="D10" i="7"/>
  <c r="D6" i="7"/>
  <c r="D15" i="7"/>
  <c r="D35" i="7"/>
  <c r="D11" i="7"/>
  <c r="D16" i="7"/>
  <c r="D20" i="7"/>
  <c r="D4" i="7"/>
  <c r="D30" i="7"/>
  <c r="D21" i="7"/>
  <c r="D33" i="7"/>
  <c r="D19" i="7"/>
  <c r="D13" i="7"/>
  <c r="D22" i="7"/>
  <c r="D23" i="7"/>
  <c r="D14" i="7"/>
  <c r="D29" i="7"/>
  <c r="D4" i="3"/>
  <c r="C74" i="3"/>
  <c r="D10" i="3"/>
  <c r="C106" i="3"/>
  <c r="D17" i="3"/>
  <c r="C88" i="3"/>
  <c r="D37" i="3"/>
  <c r="D33" i="3"/>
  <c r="D7" i="3"/>
  <c r="D47" i="3"/>
  <c r="D15" i="3"/>
  <c r="C75" i="3"/>
  <c r="D25" i="3"/>
  <c r="D20" i="3"/>
  <c r="C87" i="3"/>
  <c r="C72" i="3"/>
  <c r="D23" i="3"/>
  <c r="C89" i="3"/>
  <c r="C90" i="3"/>
  <c r="D9" i="3"/>
  <c r="D18" i="3"/>
  <c r="D27" i="3"/>
  <c r="D40" i="3"/>
  <c r="D34" i="3"/>
  <c r="C95" i="3"/>
  <c r="D11" i="3"/>
  <c r="D48" i="3"/>
  <c r="D6" i="3"/>
  <c r="D39" i="3"/>
  <c r="C76" i="3"/>
  <c r="C73" i="3"/>
  <c r="D46" i="3"/>
  <c r="D5" i="3"/>
  <c r="D30" i="3"/>
  <c r="D26" i="3"/>
  <c r="D49" i="3"/>
  <c r="D8" i="3"/>
  <c r="D38" i="3"/>
  <c r="D57" i="3"/>
  <c r="C70" i="3"/>
  <c r="C93" i="3"/>
  <c r="C91" i="3"/>
  <c r="C96" i="3"/>
  <c r="D28" i="3"/>
  <c r="C77" i="3"/>
  <c r="D16" i="3"/>
  <c r="C92" i="3"/>
  <c r="C107" i="3"/>
  <c r="D13" i="3"/>
  <c r="D44" i="3"/>
  <c r="D51" i="3"/>
  <c r="D12" i="3"/>
  <c r="D65" i="3"/>
  <c r="D31" i="3"/>
  <c r="D24" i="3"/>
  <c r="D32" i="3"/>
  <c r="C69" i="3"/>
  <c r="D21" i="3"/>
  <c r="B17" i="13" l="1"/>
  <c r="B18" i="13" s="1"/>
  <c r="B57" i="10"/>
  <c r="C29" i="14"/>
  <c r="C51" i="14"/>
  <c r="C10" i="14"/>
  <c r="C17" i="13"/>
  <c r="D17" i="12"/>
  <c r="E14" i="12"/>
  <c r="E13" i="12"/>
  <c r="B58" i="10"/>
  <c r="E11" i="13"/>
  <c r="E15" i="13"/>
  <c r="E14" i="13"/>
  <c r="D18" i="13"/>
  <c r="D76" i="10"/>
  <c r="C52" i="14"/>
  <c r="E44" i="8"/>
  <c r="B130" i="13"/>
  <c r="C8" i="14"/>
  <c r="B54" i="14"/>
  <c r="B31" i="14"/>
  <c r="C89" i="14"/>
  <c r="C90" i="14"/>
  <c r="B91" i="14"/>
  <c r="C71" i="14"/>
  <c r="C9" i="14"/>
  <c r="B72" i="14"/>
  <c r="C70" i="14"/>
  <c r="C30" i="14"/>
  <c r="C48" i="14"/>
  <c r="C50" i="14"/>
  <c r="D49" i="8"/>
  <c r="C127" i="13"/>
  <c r="C7" i="14"/>
  <c r="I1" i="9"/>
  <c r="D29" i="14"/>
  <c r="E1" i="14"/>
  <c r="E7" i="14" s="1"/>
  <c r="C53" i="14"/>
  <c r="C11" i="14"/>
  <c r="E10" i="12"/>
  <c r="E9" i="12"/>
  <c r="C150" i="10"/>
  <c r="C152" i="10"/>
  <c r="B153" i="10"/>
  <c r="C151" i="10"/>
  <c r="C129" i="10"/>
  <c r="C130" i="10"/>
  <c r="C131" i="10"/>
  <c r="B132" i="10"/>
  <c r="C79" i="10"/>
  <c r="C78" i="10"/>
  <c r="C77" i="10"/>
  <c r="D6" i="10"/>
  <c r="C100" i="10"/>
  <c r="C98" i="10"/>
  <c r="C121" i="10"/>
  <c r="C111" i="10"/>
  <c r="C120" i="10"/>
  <c r="C116" i="10"/>
  <c r="C119" i="10"/>
  <c r="C108" i="10"/>
  <c r="C115" i="10"/>
  <c r="C109" i="10"/>
  <c r="C105" i="10"/>
  <c r="C106" i="10"/>
  <c r="C118" i="10"/>
  <c r="C114" i="10"/>
  <c r="C123" i="10"/>
  <c r="C107" i="10"/>
  <c r="C112" i="10"/>
  <c r="C122" i="10"/>
  <c r="C103" i="10"/>
  <c r="C101" i="10"/>
  <c r="C117" i="10"/>
  <c r="C104" i="10"/>
  <c r="C110" i="10"/>
  <c r="C102" i="10"/>
  <c r="C30" i="10"/>
  <c r="C53" i="10"/>
  <c r="C55" i="10"/>
  <c r="C54" i="10"/>
  <c r="C52" i="10"/>
  <c r="C51" i="10"/>
  <c r="C56" i="10"/>
  <c r="E58" i="13"/>
  <c r="E63" i="13"/>
  <c r="E65" i="13"/>
  <c r="E64" i="13"/>
  <c r="E60" i="13"/>
  <c r="D66" i="13"/>
  <c r="E62" i="13"/>
  <c r="E59" i="13"/>
  <c r="E61" i="13"/>
  <c r="D150" i="13"/>
  <c r="E149" i="13"/>
  <c r="E57" i="13"/>
  <c r="E127" i="13"/>
  <c r="E128" i="13"/>
  <c r="E129" i="13"/>
  <c r="D122" i="13"/>
  <c r="D130" i="13"/>
  <c r="E102" i="13"/>
  <c r="E108" i="13"/>
  <c r="E114" i="13"/>
  <c r="E120" i="13"/>
  <c r="E111" i="13"/>
  <c r="E116" i="13"/>
  <c r="E110" i="13"/>
  <c r="E118" i="13"/>
  <c r="E80" i="13"/>
  <c r="E106" i="13"/>
  <c r="E107" i="13"/>
  <c r="E101" i="13"/>
  <c r="E117" i="13"/>
  <c r="E119" i="13"/>
  <c r="E82" i="13"/>
  <c r="E121" i="13"/>
  <c r="E115" i="13"/>
  <c r="E112" i="13"/>
  <c r="E79" i="13"/>
  <c r="E109" i="13"/>
  <c r="E81" i="13"/>
  <c r="E113" i="13"/>
  <c r="E104" i="13"/>
  <c r="E103" i="13"/>
  <c r="E37" i="13"/>
  <c r="D38" i="13"/>
  <c r="E16" i="13"/>
  <c r="E8" i="13"/>
  <c r="E12" i="13"/>
  <c r="E17" i="13"/>
  <c r="E10" i="13"/>
  <c r="E13" i="13"/>
  <c r="E9" i="13"/>
  <c r="E7" i="13"/>
  <c r="E35" i="13"/>
  <c r="E36" i="13"/>
  <c r="E105" i="13"/>
  <c r="E148" i="13"/>
  <c r="E95" i="12"/>
  <c r="D100" i="7"/>
  <c r="E99" i="7"/>
  <c r="E79" i="7"/>
  <c r="D80" i="7"/>
  <c r="E78" i="7"/>
  <c r="D93" i="9"/>
  <c r="E92" i="9"/>
  <c r="D74" i="9"/>
  <c r="E52" i="9"/>
  <c r="E73" i="9"/>
  <c r="E72" i="9"/>
  <c r="E51" i="9"/>
  <c r="D53" i="9"/>
  <c r="D29" i="10"/>
  <c r="D7" i="10" s="1"/>
  <c r="E32" i="9"/>
  <c r="E33" i="9"/>
  <c r="E31" i="9"/>
  <c r="E30" i="9"/>
  <c r="D34" i="9"/>
  <c r="D49" i="7"/>
  <c r="E60" i="7"/>
  <c r="E61" i="7"/>
  <c r="E59" i="7"/>
  <c r="D62" i="7"/>
  <c r="D31" i="10"/>
  <c r="D8" i="10" s="1"/>
  <c r="I1" i="7"/>
  <c r="C27" i="10"/>
  <c r="C29" i="10"/>
  <c r="C33" i="10"/>
  <c r="C28" i="10"/>
  <c r="C32" i="10"/>
  <c r="C6" i="10"/>
  <c r="C8" i="10"/>
  <c r="C26" i="10"/>
  <c r="C7" i="10"/>
  <c r="B34" i="10"/>
  <c r="D1" i="10"/>
  <c r="E56" i="10" s="1"/>
  <c r="C31" i="10"/>
  <c r="D66" i="12"/>
  <c r="C5" i="10"/>
  <c r="B9" i="10"/>
  <c r="D5" i="10"/>
  <c r="E62" i="12"/>
  <c r="E54" i="12"/>
  <c r="E63" i="12"/>
  <c r="E58" i="12"/>
  <c r="E64" i="12"/>
  <c r="E60" i="12"/>
  <c r="E53" i="12"/>
  <c r="E56" i="12"/>
  <c r="E59" i="12"/>
  <c r="E61" i="12"/>
  <c r="E65" i="12"/>
  <c r="E55" i="12"/>
  <c r="E57" i="12"/>
  <c r="E12" i="12"/>
  <c r="E7" i="12"/>
  <c r="E11" i="12"/>
  <c r="E8" i="12"/>
  <c r="E16" i="12"/>
  <c r="E15" i="12"/>
  <c r="E34" i="12"/>
  <c r="E94" i="12"/>
  <c r="D96" i="12"/>
  <c r="E75" i="12"/>
  <c r="E35" i="12"/>
  <c r="D77" i="12"/>
  <c r="D36" i="12"/>
  <c r="E76" i="12"/>
  <c r="B77" i="2"/>
  <c r="B54" i="12" s="1"/>
  <c r="B99" i="10" s="1"/>
  <c r="B76" i="10" s="1"/>
  <c r="C76" i="10" s="1"/>
  <c r="B78" i="2"/>
  <c r="B62" i="12" s="1"/>
  <c r="C93" i="1"/>
  <c r="E29" i="14" l="1"/>
  <c r="D57" i="10"/>
  <c r="D58" i="10" s="1"/>
  <c r="D54" i="14"/>
  <c r="D72" i="14"/>
  <c r="D31" i="14"/>
  <c r="D12" i="14"/>
  <c r="D91" i="14"/>
  <c r="E90" i="14"/>
  <c r="E9" i="14"/>
  <c r="E71" i="14"/>
  <c r="E89" i="14"/>
  <c r="E8" i="14"/>
  <c r="E52" i="14"/>
  <c r="E70" i="14"/>
  <c r="E50" i="14"/>
  <c r="E11" i="14"/>
  <c r="E51" i="14"/>
  <c r="E49" i="14"/>
  <c r="E48" i="14"/>
  <c r="E53" i="14"/>
  <c r="E30" i="14"/>
  <c r="E10" i="14"/>
  <c r="C62" i="12"/>
  <c r="B113" i="10"/>
  <c r="B124" i="10" s="1"/>
  <c r="C99" i="10"/>
  <c r="E150" i="10"/>
  <c r="D153" i="10"/>
  <c r="E151" i="10"/>
  <c r="E152" i="10"/>
  <c r="E129" i="10"/>
  <c r="E130" i="10"/>
  <c r="E131" i="10"/>
  <c r="D132" i="10"/>
  <c r="D124" i="10"/>
  <c r="E78" i="10"/>
  <c r="E75" i="10"/>
  <c r="E76" i="10"/>
  <c r="E79" i="10"/>
  <c r="E77" i="10"/>
  <c r="D80" i="10"/>
  <c r="E102" i="10"/>
  <c r="E101" i="10"/>
  <c r="E117" i="10"/>
  <c r="E113" i="10"/>
  <c r="E100" i="10"/>
  <c r="E122" i="10"/>
  <c r="E105" i="10"/>
  <c r="E120" i="10"/>
  <c r="E116" i="10"/>
  <c r="E118" i="10"/>
  <c r="E104" i="10"/>
  <c r="E109" i="10"/>
  <c r="E107" i="10"/>
  <c r="E112" i="10"/>
  <c r="E108" i="10"/>
  <c r="E111" i="10"/>
  <c r="E115" i="10"/>
  <c r="E110" i="10"/>
  <c r="E114" i="10"/>
  <c r="E103" i="10"/>
  <c r="E123" i="10"/>
  <c r="E98" i="10"/>
  <c r="E121" i="10"/>
  <c r="E119" i="10"/>
  <c r="E99" i="10"/>
  <c r="E106" i="10"/>
  <c r="E28" i="10"/>
  <c r="E53" i="10"/>
  <c r="E55" i="10"/>
  <c r="E51" i="10"/>
  <c r="E52" i="10"/>
  <c r="E54" i="10"/>
  <c r="E29" i="10"/>
  <c r="E30" i="10"/>
  <c r="E7" i="10"/>
  <c r="E8" i="10"/>
  <c r="E31" i="10"/>
  <c r="E26" i="10"/>
  <c r="E33" i="10"/>
  <c r="E32" i="10"/>
  <c r="E6" i="10"/>
  <c r="E27" i="10"/>
  <c r="D34" i="10"/>
  <c r="D9" i="10"/>
  <c r="E5" i="10"/>
  <c r="B66" i="12"/>
  <c r="C54" i="12"/>
  <c r="C35" i="12"/>
  <c r="D30" i="2"/>
  <c r="D50" i="2"/>
  <c r="D19" i="2"/>
  <c r="D42" i="2"/>
  <c r="D9" i="2"/>
  <c r="D4" i="2"/>
  <c r="D31" i="2"/>
  <c r="D40" i="2"/>
  <c r="D52" i="2"/>
  <c r="D20" i="2"/>
  <c r="D32" i="2"/>
  <c r="D10" i="2"/>
  <c r="D16" i="2"/>
  <c r="D36" i="2"/>
  <c r="D17" i="2"/>
  <c r="D51" i="2"/>
  <c r="D21" i="2"/>
  <c r="D7" i="2"/>
  <c r="D15" i="2"/>
  <c r="D26" i="2"/>
  <c r="D8" i="2"/>
  <c r="D6" i="2"/>
  <c r="D41" i="2"/>
  <c r="D18" i="2"/>
  <c r="D14" i="2"/>
  <c r="D33" i="2"/>
  <c r="D29" i="2"/>
  <c r="D5" i="2"/>
  <c r="D11" i="2"/>
  <c r="D23" i="2"/>
  <c r="D49" i="2"/>
  <c r="D22" i="2"/>
  <c r="D12" i="2"/>
  <c r="C115" i="2"/>
  <c r="C97" i="2"/>
  <c r="C77" i="2"/>
  <c r="C114" i="2"/>
  <c r="C78" i="2"/>
  <c r="B116" i="2"/>
  <c r="C96" i="2"/>
  <c r="B98" i="2"/>
  <c r="D48" i="2"/>
  <c r="E57" i="10" l="1"/>
  <c r="B75" i="10"/>
  <c r="C113" i="10"/>
  <c r="C59" i="2"/>
  <c r="C62" i="2"/>
  <c r="C58" i="2"/>
  <c r="C60" i="2"/>
  <c r="C61" i="2"/>
  <c r="C63" i="2"/>
  <c r="C66" i="2"/>
  <c r="D106" i="1"/>
  <c r="C57" i="2"/>
  <c r="C34" i="12"/>
  <c r="C75" i="10" l="1"/>
  <c r="B80" i="10"/>
  <c r="C57" i="10"/>
  <c r="B49" i="7"/>
  <c r="B12" i="14"/>
  <c r="B79" i="2"/>
  <c r="D83" i="13"/>
  <c r="B83" i="13"/>
</calcChain>
</file>

<file path=xl/sharedStrings.xml><?xml version="1.0" encoding="utf-8"?>
<sst xmlns="http://schemas.openxmlformats.org/spreadsheetml/2006/main" count="3569" uniqueCount="739">
  <si>
    <t>GLASS BOTTLES</t>
  </si>
  <si>
    <t>TYPE OF PRODUCT</t>
  </si>
  <si>
    <t>PRODUCT/BRAND</t>
  </si>
  <si>
    <t>QUANTITY</t>
  </si>
  <si>
    <t>Beer</t>
  </si>
  <si>
    <t>ORIGIN</t>
  </si>
  <si>
    <t>Mongolia</t>
  </si>
  <si>
    <t>Imported</t>
  </si>
  <si>
    <t>APU</t>
  </si>
  <si>
    <t>Niislel</t>
  </si>
  <si>
    <t>Altan Gobi</t>
  </si>
  <si>
    <t>GLASS JARS</t>
  </si>
  <si>
    <t>PLASTIC BAGS AND WRAPPING</t>
  </si>
  <si>
    <t>TETRA PAKS</t>
  </si>
  <si>
    <t>ALUMINUM CANS</t>
  </si>
  <si>
    <t>Sengur</t>
  </si>
  <si>
    <t>TYPE OF WM PROCESS</t>
  </si>
  <si>
    <t>Borgio</t>
  </si>
  <si>
    <t>Tiger</t>
  </si>
  <si>
    <t>Baltika</t>
  </si>
  <si>
    <t>COMPANY/GROUP 
PRODUCER/IMPORTER</t>
  </si>
  <si>
    <t>Coca-Cola</t>
  </si>
  <si>
    <t>Soda</t>
  </si>
  <si>
    <t>Tsingtao</t>
  </si>
  <si>
    <t>Fanta</t>
  </si>
  <si>
    <t>Sprite</t>
  </si>
  <si>
    <t>Jigulevskoe</t>
  </si>
  <si>
    <t>Heineken</t>
  </si>
  <si>
    <t>Terelj + Selenge</t>
  </si>
  <si>
    <t>Jalam Khar</t>
  </si>
  <si>
    <t>Pepsi</t>
  </si>
  <si>
    <t>Schweppes</t>
  </si>
  <si>
    <t>Other imported beers</t>
  </si>
  <si>
    <t>Other imported sodas</t>
  </si>
  <si>
    <t>Milk</t>
  </si>
  <si>
    <t>Vitafit</t>
  </si>
  <si>
    <t>Tsever suu</t>
  </si>
  <si>
    <t>Öglöö suu</t>
  </si>
  <si>
    <t>Frutta</t>
  </si>
  <si>
    <t>Juice</t>
  </si>
  <si>
    <t>Jimst</t>
  </si>
  <si>
    <t>Wild Berries</t>
  </si>
  <si>
    <t>Teso</t>
  </si>
  <si>
    <t>Zov</t>
  </si>
  <si>
    <t>Suu</t>
  </si>
  <si>
    <t>Suu LLC</t>
  </si>
  <si>
    <t>Yogurt</t>
  </si>
  <si>
    <t>MonFresh</t>
  </si>
  <si>
    <t>Fresh</t>
  </si>
  <si>
    <t>Undaa</t>
  </si>
  <si>
    <t>Deej tarag</t>
  </si>
  <si>
    <t>Deej suu</t>
  </si>
  <si>
    <t>Sain tarag</t>
  </si>
  <si>
    <t>Aarz</t>
  </si>
  <si>
    <t>Toslog suu (Milko)</t>
  </si>
  <si>
    <t>100 (Milko)</t>
  </si>
  <si>
    <t>Goë</t>
  </si>
  <si>
    <t>Vitsamo</t>
  </si>
  <si>
    <t>Organice</t>
  </si>
  <si>
    <t>Sunny</t>
  </si>
  <si>
    <t>Gogo</t>
  </si>
  <si>
    <t>Balkan yogurt</t>
  </si>
  <si>
    <t>Moya Semya</t>
  </si>
  <si>
    <t>Lyubimii</t>
  </si>
  <si>
    <t>Other imported juices</t>
  </si>
  <si>
    <t>Cosmo Trade Co., Ltd</t>
  </si>
  <si>
    <t>Bayasakh International LLC</t>
  </si>
  <si>
    <t>Asian Organic Food Import LLC</t>
  </si>
  <si>
    <t>Vegetables and fruits</t>
  </si>
  <si>
    <t>Saira (vrkz)</t>
  </si>
  <si>
    <t>Baltiiskii Nebod</t>
  </si>
  <si>
    <t>Ottogi Tuna</t>
  </si>
  <si>
    <t>Taivantulga Ltd</t>
  </si>
  <si>
    <t>Altan Joloo Impex LLC</t>
  </si>
  <si>
    <t>Kilka (Omega)</t>
  </si>
  <si>
    <t>Kilka (Tarkom)</t>
  </si>
  <si>
    <t>Bimex LLC</t>
  </si>
  <si>
    <t>Khun Od</t>
  </si>
  <si>
    <t>Vita</t>
  </si>
  <si>
    <t>Munkhiin Tunshel LLC</t>
  </si>
  <si>
    <t>Goë Sanaa</t>
  </si>
  <si>
    <t>Chiron Co., Ltd</t>
  </si>
  <si>
    <t>Market geit LLC</t>
  </si>
  <si>
    <t>Monmaslo LLC</t>
  </si>
  <si>
    <t>Other imported vegetables and fruits</t>
  </si>
  <si>
    <t>Other imported condensed milk</t>
  </si>
  <si>
    <t>Undrakhmandakh Govi LLC</t>
  </si>
  <si>
    <t>Mishka Foods LLC</t>
  </si>
  <si>
    <t>MCS</t>
  </si>
  <si>
    <t>Multi Vitamin</t>
  </si>
  <si>
    <t>Khujirt</t>
  </si>
  <si>
    <t>Water</t>
  </si>
  <si>
    <t>Oleina</t>
  </si>
  <si>
    <t>Vegetal oil</t>
  </si>
  <si>
    <t>Lucha LLC</t>
  </si>
  <si>
    <t>Voyage</t>
  </si>
  <si>
    <t>Ekos</t>
  </si>
  <si>
    <t>GN Beverages LLC</t>
  </si>
  <si>
    <t>Tod</t>
  </si>
  <si>
    <t>Batjina Trade LLC</t>
  </si>
  <si>
    <t xml:space="preserve">Shar Doctor seabuckthorn </t>
  </si>
  <si>
    <t>UFC Trade LLC</t>
  </si>
  <si>
    <t>Bio seabuckthorn</t>
  </si>
  <si>
    <t>Bio tsever us</t>
  </si>
  <si>
    <t>Siberian welness</t>
  </si>
  <si>
    <t>Health and body care</t>
  </si>
  <si>
    <t>Tegsh Chanar</t>
  </si>
  <si>
    <t>Bon aqua</t>
  </si>
  <si>
    <t>Zaluu Xuns LLC</t>
  </si>
  <si>
    <t>Undes tsever us</t>
  </si>
  <si>
    <t>Gym water</t>
  </si>
  <si>
    <t>Tucheegun Undarga LLC</t>
  </si>
  <si>
    <t>Nisleel</t>
  </si>
  <si>
    <t>Seruun</t>
  </si>
  <si>
    <t>Soëolj</t>
  </si>
  <si>
    <t>General Sky Mongolia Group</t>
  </si>
  <si>
    <t>Push Mojito</t>
  </si>
  <si>
    <t>Wild berries</t>
  </si>
  <si>
    <t>Amtlag tarag</t>
  </si>
  <si>
    <t>Tsever us + Orgiluun</t>
  </si>
  <si>
    <t>Gogo and others</t>
  </si>
  <si>
    <t>PET BOTTLES</t>
  </si>
  <si>
    <t>Fuze tea + Minute Maid</t>
  </si>
  <si>
    <t>Kuka Kurortnaya + Chavgatai tsai</t>
  </si>
  <si>
    <t>Various vitamin supplements products</t>
  </si>
  <si>
    <t>Vita C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</si>
  <si>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>BY TYPE OF PRODUCT</t>
    </r>
  </si>
  <si>
    <t>Cleaning product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</si>
  <si>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>BY ORIGIN OF PRODUCTION</t>
    </r>
  </si>
  <si>
    <t xml:space="preserve"> </t>
  </si>
  <si>
    <t>Ice tea + other products</t>
  </si>
  <si>
    <t>Ricco (mayonnaise + oil)</t>
  </si>
  <si>
    <t>Goë (shuus)</t>
  </si>
  <si>
    <t>Goë (suu)</t>
  </si>
  <si>
    <t>Sor (shuus)</t>
  </si>
  <si>
    <t>Sor (suu)</t>
  </si>
  <si>
    <t>Pororo (shuus)</t>
  </si>
  <si>
    <t>Pororo (suu)</t>
  </si>
  <si>
    <t>Borgio (Lagger + Wheat)</t>
  </si>
  <si>
    <t>Sengur (Normal + Radler + White)</t>
  </si>
  <si>
    <t>Kaltenberg (Hefe Weissbier + Spezial)</t>
  </si>
  <si>
    <t>Orgiluun (Watermelon)</t>
  </si>
  <si>
    <r>
      <t xml:space="preserve">Ace </t>
    </r>
    <r>
      <rPr>
        <sz val="12"/>
        <color theme="1"/>
        <rFont val="Calibri"/>
        <family val="2"/>
        <scheme val="minor"/>
      </rPr>
      <t>(beans, corn, vegetables…)</t>
    </r>
  </si>
  <si>
    <r>
      <t>Del Monte</t>
    </r>
    <r>
      <rPr>
        <sz val="12"/>
        <color theme="1"/>
        <rFont val="Calibri"/>
        <family val="2"/>
        <scheme val="minor"/>
      </rPr>
      <t xml:space="preserve"> (Tomato sauce)</t>
    </r>
  </si>
  <si>
    <r>
      <t>Kowar</t>
    </r>
    <r>
      <rPr>
        <sz val="12"/>
        <color theme="1"/>
        <rFont val="Calibri"/>
        <family val="2"/>
        <scheme val="minor"/>
      </rPr>
      <t xml:space="preserve"> (beans, corn, vegetables…)</t>
    </r>
  </si>
  <si>
    <r>
      <t xml:space="preserve">Agro </t>
    </r>
    <r>
      <rPr>
        <sz val="12"/>
        <color theme="1"/>
        <rFont val="Calibri"/>
        <family val="2"/>
        <scheme val="minor"/>
      </rPr>
      <t>(corn, tomato sauce)</t>
    </r>
  </si>
  <si>
    <r>
      <t xml:space="preserve">Hosen </t>
    </r>
    <r>
      <rPr>
        <sz val="12"/>
        <color theme="1"/>
        <rFont val="Calibri"/>
        <family val="2"/>
        <scheme val="minor"/>
      </rPr>
      <t>(beans, corn, tomato sauce…)</t>
    </r>
  </si>
  <si>
    <r>
      <t>Italica / Italissima</t>
    </r>
    <r>
      <rPr>
        <sz val="12"/>
        <color theme="1"/>
        <rFont val="Calibri"/>
        <family val="2"/>
        <scheme val="minor"/>
      </rPr>
      <t xml:space="preserve"> (green peas)</t>
    </r>
  </si>
  <si>
    <r>
      <t xml:space="preserve">Sajo </t>
    </r>
    <r>
      <rPr>
        <sz val="12"/>
        <color theme="1"/>
        <rFont val="Calibri"/>
        <family val="2"/>
        <scheme val="minor"/>
      </rPr>
      <t>(tuna)</t>
    </r>
  </si>
  <si>
    <r>
      <t xml:space="preserve">Ecovita </t>
    </r>
    <r>
      <rPr>
        <sz val="12"/>
        <color theme="1"/>
        <rFont val="Calibri"/>
        <family val="2"/>
        <scheme val="minor"/>
      </rPr>
      <t>(fruit slices)</t>
    </r>
  </si>
  <si>
    <r>
      <t xml:space="preserve">Davia </t>
    </r>
    <r>
      <rPr>
        <sz val="12"/>
        <color theme="1"/>
        <rFont val="Calibri"/>
        <family val="2"/>
        <scheme val="minor"/>
      </rPr>
      <t>(tomato sauce)</t>
    </r>
  </si>
  <si>
    <r>
      <t xml:space="preserve">Ukhriin jigecen makh </t>
    </r>
    <r>
      <rPr>
        <sz val="12"/>
        <color theme="1"/>
        <rFont val="Calibri"/>
        <family val="2"/>
        <scheme val="minor"/>
      </rPr>
      <t>(beef)</t>
    </r>
  </si>
  <si>
    <r>
      <t xml:space="preserve">Acorsa </t>
    </r>
    <r>
      <rPr>
        <sz val="12"/>
        <color theme="1"/>
        <rFont val="Calibri"/>
        <family val="2"/>
        <scheme val="minor"/>
      </rPr>
      <t>(olives)</t>
    </r>
  </si>
  <si>
    <r>
      <t>Golden Price</t>
    </r>
    <r>
      <rPr>
        <sz val="12"/>
        <color theme="1"/>
        <rFont val="Calibri"/>
        <family val="2"/>
        <scheme val="minor"/>
      </rPr>
      <t xml:space="preserve"> (tuna)</t>
    </r>
  </si>
  <si>
    <r>
      <t xml:space="preserve">Vita </t>
    </r>
    <r>
      <rPr>
        <sz val="12"/>
        <color theme="1"/>
        <rFont val="Calibri"/>
        <family val="2"/>
        <scheme val="minor"/>
      </rPr>
      <t>(corn)</t>
    </r>
  </si>
  <si>
    <r>
      <t xml:space="preserve">Green Ray </t>
    </r>
    <r>
      <rPr>
        <sz val="12"/>
        <color theme="1"/>
        <rFont val="Calibri"/>
        <family val="2"/>
        <scheme val="minor"/>
      </rPr>
      <t>(chickpea)</t>
    </r>
  </si>
  <si>
    <r>
      <t xml:space="preserve">El Corte Ingles </t>
    </r>
    <r>
      <rPr>
        <sz val="12"/>
        <color theme="1"/>
        <rFont val="Calibri"/>
        <family val="2"/>
        <scheme val="minor"/>
      </rPr>
      <t>(olives)</t>
    </r>
  </si>
  <si>
    <r>
      <t>Semya</t>
    </r>
    <r>
      <rPr>
        <sz val="12"/>
        <color theme="1"/>
        <rFont val="Calibri"/>
        <family val="2"/>
        <scheme val="minor"/>
      </rPr>
      <t xml:space="preserve"> (corn)</t>
    </r>
  </si>
  <si>
    <r>
      <t xml:space="preserve">Nescafé classic </t>
    </r>
    <r>
      <rPr>
        <sz val="12"/>
        <color theme="1"/>
        <rFont val="Calibri"/>
        <family val="2"/>
        <scheme val="minor"/>
      </rPr>
      <t>(coffee)</t>
    </r>
  </si>
  <si>
    <r>
      <t xml:space="preserve">Natco </t>
    </r>
    <r>
      <rPr>
        <sz val="12"/>
        <color theme="1"/>
        <rFont val="Calibri"/>
        <family val="2"/>
        <scheme val="minor"/>
      </rPr>
      <t>(coconut milk)</t>
    </r>
  </si>
  <si>
    <r>
      <t xml:space="preserve">Moloko </t>
    </r>
    <r>
      <rPr>
        <sz val="12"/>
        <color theme="1"/>
        <rFont val="Calibri"/>
        <family val="2"/>
        <scheme val="minor"/>
      </rPr>
      <t>(</t>
    </r>
    <r>
      <rPr>
        <b/>
        <sz val="12"/>
        <color theme="1"/>
        <rFont val="Calibri"/>
        <family val="2"/>
        <scheme val="minor"/>
      </rPr>
      <t xml:space="preserve">bunny </t>
    </r>
    <r>
      <rPr>
        <sz val="12"/>
        <color theme="1"/>
        <rFont val="Calibri"/>
        <family val="2"/>
        <scheme val="minor"/>
      </rPr>
      <t>condensed milk)</t>
    </r>
  </si>
  <si>
    <r>
      <t xml:space="preserve">Moloko </t>
    </r>
    <r>
      <rPr>
        <sz val="12"/>
        <color theme="1"/>
        <rFont val="Calibri"/>
        <family val="2"/>
        <scheme val="minor"/>
      </rPr>
      <t>(</t>
    </r>
    <r>
      <rPr>
        <b/>
        <sz val="12"/>
        <color theme="1"/>
        <rFont val="Calibri"/>
        <family val="2"/>
        <scheme val="minor"/>
      </rPr>
      <t xml:space="preserve">Glavprodukt </t>
    </r>
    <r>
      <rPr>
        <sz val="12"/>
        <color theme="1"/>
        <rFont val="Calibri"/>
        <family val="2"/>
        <scheme val="minor"/>
      </rPr>
      <t>condensed milk)</t>
    </r>
  </si>
  <si>
    <r>
      <t xml:space="preserve">Moloko </t>
    </r>
    <r>
      <rPr>
        <sz val="12"/>
        <color theme="1"/>
        <rFont val="Calibri"/>
        <family val="2"/>
        <scheme val="minor"/>
      </rPr>
      <t>(</t>
    </r>
    <r>
      <rPr>
        <b/>
        <sz val="12"/>
        <color theme="1"/>
        <rFont val="Calibri"/>
        <family val="2"/>
        <scheme val="minor"/>
      </rPr>
      <t xml:space="preserve">Itchnya </t>
    </r>
    <r>
      <rPr>
        <sz val="12"/>
        <color theme="1"/>
        <rFont val="Calibri"/>
        <family val="2"/>
        <scheme val="minor"/>
      </rPr>
      <t>condensed milk)</t>
    </r>
  </si>
  <si>
    <t>Lotte</t>
  </si>
  <si>
    <t>Fanta + Sprite + Schweppes</t>
  </si>
  <si>
    <t>Chanar + Organic amt</t>
  </si>
  <si>
    <t>Altan Chabga LLC</t>
  </si>
  <si>
    <t>Golden Plum</t>
  </si>
  <si>
    <t>HDPE (2)</t>
  </si>
  <si>
    <t>Goë tarag</t>
  </si>
  <si>
    <t>Ger elgen tarag</t>
  </si>
  <si>
    <t>PP (5)</t>
  </si>
  <si>
    <t>PS (6)</t>
  </si>
  <si>
    <t>Goë yogurt</t>
  </si>
  <si>
    <t>Ölzii zöökhii</t>
  </si>
  <si>
    <t>Spedstvo Belizha</t>
  </si>
  <si>
    <t>LDPE/HDPE</t>
  </si>
  <si>
    <t>Biomon</t>
  </si>
  <si>
    <t>Fairy</t>
  </si>
  <si>
    <t>Ulaanbaatar ketchup</t>
  </si>
  <si>
    <t>Klasic ketchup</t>
  </si>
  <si>
    <t>Dalai khuch LLC</t>
  </si>
  <si>
    <t>Montuul Servis LLC</t>
  </si>
  <si>
    <t>Mis-Pol ketchup</t>
  </si>
  <si>
    <t>Gut &amp; Günstig ketchup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</si>
  <si>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>BY TYPE OF PLASTIC</t>
    </r>
  </si>
  <si>
    <t>TYPE OF MATERIAL</t>
  </si>
  <si>
    <t>PET (1)</t>
  </si>
  <si>
    <t>Multi-layer mix</t>
  </si>
  <si>
    <t>STEEL CANS</t>
  </si>
  <si>
    <t>Steel</t>
  </si>
  <si>
    <t>Spektr (Rastvoritel 647)</t>
  </si>
  <si>
    <t>Finish Line</t>
  </si>
  <si>
    <t>Veterinary product</t>
  </si>
  <si>
    <t>Nutrilite (Amway)</t>
  </si>
  <si>
    <t>Maxeev (mayonnaise + jam)</t>
  </si>
  <si>
    <t>Kokola (cookies)</t>
  </si>
  <si>
    <t>Jelanya 3 (butter)</t>
  </si>
  <si>
    <t>MacCoffee</t>
  </si>
  <si>
    <t>Activia (Danone)</t>
  </si>
  <si>
    <t>Ulaanbaatar jam</t>
  </si>
  <si>
    <t>Klasic jam</t>
  </si>
  <si>
    <t>Agrico LLC</t>
  </si>
  <si>
    <t>Chanamal + Nova (jam)</t>
  </si>
  <si>
    <t>Sava (jam)</t>
  </si>
  <si>
    <t>Minii Franchaizins LLC</t>
  </si>
  <si>
    <t>Rasom (jam)</t>
  </si>
  <si>
    <t>Danish style jam</t>
  </si>
  <si>
    <t>Bayasakh Interneichnl LLC</t>
  </si>
  <si>
    <t>Solnie (jam)</t>
  </si>
  <si>
    <t>Lu.Ka (mayonnaise)</t>
  </si>
  <si>
    <t>Absolutno dlya vsex (jam)</t>
  </si>
  <si>
    <t>Itchnya (ice cream)</t>
  </si>
  <si>
    <t>Plusvital</t>
  </si>
  <si>
    <t>Gut &amp; Günstig juice</t>
  </si>
  <si>
    <t>Pororo</t>
  </si>
  <si>
    <t>Kagome</t>
  </si>
  <si>
    <t>Gotte Foods LLC</t>
  </si>
  <si>
    <t>Chatsargan</t>
  </si>
  <si>
    <t>Other sodas</t>
  </si>
  <si>
    <t>Other juices</t>
  </si>
  <si>
    <t>Various sauces</t>
  </si>
  <si>
    <t>Various praying oils</t>
  </si>
  <si>
    <t>Other beers</t>
  </si>
  <si>
    <t>Other vegetal oils</t>
  </si>
  <si>
    <t>Other waters</t>
  </si>
  <si>
    <t>Other cleaning products</t>
  </si>
  <si>
    <t>Other health and body care</t>
  </si>
  <si>
    <t>Various anti-freeze</t>
  </si>
  <si>
    <t>Various soaps and shampoos</t>
  </si>
  <si>
    <t>Soap and shampoo</t>
  </si>
  <si>
    <t>Lugovoe (butter) + Zolotaya Yanta (mayonnaise)</t>
  </si>
  <si>
    <t>"Khuvsgul handmade juice"</t>
  </si>
  <si>
    <t>Berries juice</t>
  </si>
  <si>
    <t>Amway (soaps and shampoos)</t>
  </si>
  <si>
    <t>Oriflame</t>
  </si>
  <si>
    <t>kg</t>
  </si>
  <si>
    <t>Broken plastic (non-container) items</t>
  </si>
  <si>
    <t>Other goods</t>
  </si>
  <si>
    <t>Meaazi M</t>
  </si>
  <si>
    <t>Single-use and inner food packaging</t>
  </si>
  <si>
    <t>Amway (cleaning products)</t>
  </si>
  <si>
    <t>Ricco (mayonnaise)</t>
  </si>
  <si>
    <t>Other motor oil</t>
  </si>
  <si>
    <t>Activia + Actimel (Danone)</t>
  </si>
  <si>
    <t>Various yogurt pots</t>
  </si>
  <si>
    <t>Smetana (cheese)</t>
  </si>
  <si>
    <t>Ulaanbaatar zöökhii</t>
  </si>
  <si>
    <t>Jigdkhuch</t>
  </si>
  <si>
    <t>I&amp;R Mongolia</t>
  </si>
  <si>
    <t>CJ (corean sauce)</t>
  </si>
  <si>
    <t>Sajo (corean sauce)</t>
  </si>
  <si>
    <t>CVS Mongolia</t>
  </si>
  <si>
    <t>Daesang (corean sauce)</t>
  </si>
  <si>
    <t>Persona (jam)</t>
  </si>
  <si>
    <t>Rama (Unilever butter)</t>
  </si>
  <si>
    <t>Nice Kimchi</t>
  </si>
  <si>
    <t>Tselmeg orgil LLC</t>
  </si>
  <si>
    <t>Saint-Agur</t>
  </si>
  <si>
    <t>Silk Royd LLC</t>
  </si>
  <si>
    <t>Mozzarella cheddar cheese</t>
  </si>
  <si>
    <t>Ile de France</t>
  </si>
  <si>
    <t>Sanitas</t>
  </si>
  <si>
    <t>Safeguard</t>
  </si>
  <si>
    <t>Protex</t>
  </si>
  <si>
    <t>GRDR Superalbendazole</t>
  </si>
  <si>
    <t>Himalaya</t>
  </si>
  <si>
    <t>Tsakhiur Tumur</t>
  </si>
  <si>
    <t>21st Century</t>
  </si>
  <si>
    <t>Forever</t>
  </si>
  <si>
    <t>Mohkhimo</t>
  </si>
  <si>
    <t>Aduu</t>
  </si>
  <si>
    <t>Other vitamin supplements</t>
  </si>
  <si>
    <t>Prouvé</t>
  </si>
  <si>
    <t>Greenleaf</t>
  </si>
  <si>
    <t>Ecoplus Life LLC</t>
  </si>
  <si>
    <t>Moncream</t>
  </si>
  <si>
    <t>Khaltai</t>
  </si>
  <si>
    <t>KeraSys</t>
  </si>
  <si>
    <t>P&amp;G products (Pantene, Head&amp;Shoulders…)</t>
  </si>
  <si>
    <t>TRESemmé (Unilever)</t>
  </si>
  <si>
    <t>Aekyung Trio</t>
  </si>
  <si>
    <t>Nevcos</t>
  </si>
  <si>
    <t>Henkel Perwell</t>
  </si>
  <si>
    <t>Other soaps and shampoos</t>
  </si>
  <si>
    <t>DXN</t>
  </si>
  <si>
    <t>Daiso</t>
  </si>
  <si>
    <t>Nescafé (caps of glass jars)</t>
  </si>
  <si>
    <t>Jacobs (caps of glass jars)</t>
  </si>
  <si>
    <t>Emiliy (cookies)</t>
  </si>
  <si>
    <t>Bubble wrapp and expansed PE</t>
  </si>
  <si>
    <t>Protective plastic</t>
  </si>
  <si>
    <t>Grocery and vegetable bags</t>
  </si>
  <si>
    <t>Other plastic bags and wrapping</t>
  </si>
  <si>
    <t>LDPE (4)</t>
  </si>
  <si>
    <t>Plastic bags and wrapping</t>
  </si>
  <si>
    <t>Other non-food packaging</t>
  </si>
  <si>
    <t>NON-PET CONTAINERS / ITEMS</t>
  </si>
  <si>
    <t>GEM</t>
  </si>
  <si>
    <t>Vodka</t>
  </si>
  <si>
    <t>Ерөөл (0.5L)</t>
  </si>
  <si>
    <t>Ерөөл (0.75L)</t>
  </si>
  <si>
    <t>Ерөөл (0.2L)</t>
  </si>
  <si>
    <t>Ерөөл (0.1L)</t>
  </si>
  <si>
    <t>Xapaa (0.75L)</t>
  </si>
  <si>
    <t>Xapaa (0.5L)</t>
  </si>
  <si>
    <t>Xapaa (0.35L)</t>
  </si>
  <si>
    <t>Xapaa (0.2L)</t>
  </si>
  <si>
    <t>Quality (0.75L)</t>
  </si>
  <si>
    <t>Quality (0.5L)</t>
  </si>
  <si>
    <t>Quality (0.35L)</t>
  </si>
  <si>
    <t>Glass</t>
  </si>
  <si>
    <t>Craft/Draft Beer (0.5L)</t>
  </si>
  <si>
    <t>Craft/Draft Beer (0.33L)</t>
  </si>
  <si>
    <t>Соёрхол (0.75L)</t>
  </si>
  <si>
    <t>Соёрхол (0.5L)</t>
  </si>
  <si>
    <t>Arkhi (0.75L)</t>
  </si>
  <si>
    <t>Arkhi (0.5L)</t>
  </si>
  <si>
    <t>Arkhi (0.35L)</t>
  </si>
  <si>
    <t>Chinggis GrandKhaan (0.75L)</t>
  </si>
  <si>
    <t>Chinggis GrandKhaan (0.5L)</t>
  </si>
  <si>
    <t>Chinggis Gold/Platinium (1L)</t>
  </si>
  <si>
    <t>Chinggis Gold/Platinium (0.75L)</t>
  </si>
  <si>
    <t>Chinggis Gold/Platinium (0.5L)</t>
  </si>
  <si>
    <t>Elix (0.75L)</t>
  </si>
  <si>
    <t>Elix (0.5L)</t>
  </si>
  <si>
    <t>Altan Tuluu (0.75L)</t>
  </si>
  <si>
    <t>Altan Tuluu (0.5L)</t>
  </si>
  <si>
    <t>Bolor (0.75L)</t>
  </si>
  <si>
    <t>Tsagaan Arikh (0.5L)</t>
  </si>
  <si>
    <t>Tsagaan Arikh (0.75L)</t>
  </si>
  <si>
    <t>Alkogroup (Хярын нуур ХХК)</t>
  </si>
  <si>
    <t>Ауруг (0.5L)</t>
  </si>
  <si>
    <t>Ауруг (0.7L)</t>
  </si>
  <si>
    <t>Seruun + Borgio + Sengur + Altan Gobi +  Kalternberg + Tiger</t>
  </si>
  <si>
    <t>Tundra (0.7L)</t>
  </si>
  <si>
    <t>Taiga (0.75L)</t>
  </si>
  <si>
    <t>Taiga (0.5L)</t>
  </si>
  <si>
    <t>Evok (0.75L)</t>
  </si>
  <si>
    <t>Eve (0.5L)</t>
  </si>
  <si>
    <t>Soyombo (1L)</t>
  </si>
  <si>
    <t>Soyombo (0.75L)</t>
  </si>
  <si>
    <t>Velvet (1L)</t>
  </si>
  <si>
    <t>Velvet (0.7L)</t>
  </si>
  <si>
    <t>Shine Ulaanbaatar (0.75L)</t>
  </si>
  <si>
    <t>Shine Ulaanbaatar (0.5L)</t>
  </si>
  <si>
    <t>Börte (0.75L)</t>
  </si>
  <si>
    <t>Nomad (1L)</t>
  </si>
  <si>
    <t>Bulgan (0.75L)</t>
  </si>
  <si>
    <t>Domch Bor (0.75L)</t>
  </si>
  <si>
    <t>Küvsgöl Khuns XK</t>
  </si>
  <si>
    <t>Dalai Eej (0.5L)</t>
  </si>
  <si>
    <t>Arvain Undes Beverages</t>
  </si>
  <si>
    <t>Arvain (0.75L)</t>
  </si>
  <si>
    <t>Sayan (0.75L)</t>
  </si>
  <si>
    <t>Өргөө (0.5L)</t>
  </si>
  <si>
    <t>Ёслол (0.75L)</t>
  </si>
  <si>
    <t>Nutag (0.7L)</t>
  </si>
  <si>
    <t>Shine Ekhlel LLC</t>
  </si>
  <si>
    <t>Khamag Mongol (0.75L)</t>
  </si>
  <si>
    <t>Shilmel (0.5)</t>
  </si>
  <si>
    <t>Otgontehger (0.5L)</t>
  </si>
  <si>
    <t>Zavkhan Bayalag XK</t>
  </si>
  <si>
    <t>Wine</t>
  </si>
  <si>
    <t>Various imported wine</t>
  </si>
  <si>
    <t>Various imported liquors</t>
  </si>
  <si>
    <t>Various imported olive oils</t>
  </si>
  <si>
    <t>TOTAL WEIGHT (kg)</t>
  </si>
  <si>
    <t>ITEM WEIGHT (g)</t>
  </si>
  <si>
    <t>Соёрхол (1.75L)</t>
  </si>
  <si>
    <t>Altan Khuns Group LLC</t>
  </si>
  <si>
    <t>Tumnii Khishig (0.75L)</t>
  </si>
  <si>
    <t>Соёрхол (1L)</t>
  </si>
  <si>
    <t>Börte (0.5L)</t>
  </si>
  <si>
    <t>Polystyrene protection foam</t>
  </si>
  <si>
    <t>Khikh LLC</t>
  </si>
  <si>
    <t>Various imported beers</t>
  </si>
  <si>
    <t>Various imported sauces</t>
  </si>
  <si>
    <t>Various imported perfumes</t>
  </si>
  <si>
    <t>Various paint diluters</t>
  </si>
  <si>
    <t>Various medicinal products</t>
  </si>
  <si>
    <t>Various imported juices</t>
  </si>
  <si>
    <t>Various imported sodas</t>
  </si>
  <si>
    <t>Various dairy products</t>
  </si>
  <si>
    <t>Khujirt (0.7L)</t>
  </si>
  <si>
    <t>Dairy</t>
  </si>
  <si>
    <t>Durvun Ulzii LLC</t>
  </si>
  <si>
    <t>Downcyling</t>
  </si>
  <si>
    <t>Eden LLC</t>
  </si>
  <si>
    <r>
      <t>Gazar Shim (725ml</t>
    </r>
    <r>
      <rPr>
        <sz val="12"/>
        <color theme="1"/>
        <rFont val="Calibri"/>
        <family val="2"/>
        <scheme val="minor"/>
      </rPr>
      <t>-pickles-</t>
    </r>
    <r>
      <rPr>
        <b/>
        <sz val="12"/>
        <color theme="1"/>
        <rFont val="Calibri"/>
        <family val="2"/>
        <scheme val="minor"/>
      </rPr>
      <t>standard)</t>
    </r>
  </si>
  <si>
    <r>
      <t>Urbanek (725ml</t>
    </r>
    <r>
      <rPr>
        <sz val="12"/>
        <color theme="1"/>
        <rFont val="Calibri"/>
        <family val="2"/>
        <scheme val="minor"/>
      </rPr>
      <t>-pickles-</t>
    </r>
    <r>
      <rPr>
        <b/>
        <sz val="12"/>
        <color theme="1"/>
        <rFont val="Calibri"/>
        <family val="2"/>
        <scheme val="minor"/>
      </rPr>
      <t>standard)</t>
    </r>
  </si>
  <si>
    <r>
      <t>Vidan (725ml</t>
    </r>
    <r>
      <rPr>
        <sz val="12"/>
        <color theme="1"/>
        <rFont val="Calibri"/>
        <family val="2"/>
        <scheme val="minor"/>
      </rPr>
      <t>-pickles-</t>
    </r>
    <r>
      <rPr>
        <b/>
        <sz val="12"/>
        <color theme="1"/>
        <rFont val="Calibri"/>
        <family val="2"/>
        <scheme val="minor"/>
      </rPr>
      <t>standard)</t>
    </r>
  </si>
  <si>
    <r>
      <t>Gut &amp; Günstig (725ml</t>
    </r>
    <r>
      <rPr>
        <sz val="12"/>
        <color theme="1"/>
        <rFont val="Calibri"/>
        <family val="2"/>
        <scheme val="minor"/>
      </rPr>
      <t>-pickles-</t>
    </r>
    <r>
      <rPr>
        <b/>
        <sz val="12"/>
        <color theme="1"/>
        <rFont val="Calibri"/>
        <family val="2"/>
        <scheme val="minor"/>
      </rPr>
      <t>standard)</t>
    </r>
  </si>
  <si>
    <r>
      <t>Others (725ml</t>
    </r>
    <r>
      <rPr>
        <sz val="12"/>
        <color theme="1"/>
        <rFont val="Calibri"/>
        <family val="2"/>
        <scheme val="minor"/>
      </rPr>
      <t>-pickles-</t>
    </r>
    <r>
      <rPr>
        <b/>
        <sz val="12"/>
        <color theme="1"/>
        <rFont val="Calibri"/>
        <family val="2"/>
        <scheme val="minor"/>
      </rPr>
      <t>standard)</t>
    </r>
  </si>
  <si>
    <t>Various non-standardized jars</t>
  </si>
  <si>
    <r>
      <t>Gazar Shim (280ml</t>
    </r>
    <r>
      <rPr>
        <sz val="12"/>
        <color theme="1"/>
        <rFont val="Calibri"/>
        <family val="2"/>
        <scheme val="minor"/>
      </rPr>
      <t>-salad-</t>
    </r>
    <r>
      <rPr>
        <b/>
        <sz val="12"/>
        <color theme="1"/>
        <rFont val="Calibri"/>
        <family val="2"/>
        <scheme val="minor"/>
      </rPr>
      <t>standard)</t>
    </r>
  </si>
  <si>
    <r>
      <t>Gazar Shim (570ml</t>
    </r>
    <r>
      <rPr>
        <sz val="12"/>
        <color theme="1"/>
        <rFont val="Calibri"/>
        <family val="2"/>
        <scheme val="minor"/>
      </rPr>
      <t>-triangle-salad-</t>
    </r>
    <r>
      <rPr>
        <b/>
        <sz val="12"/>
        <color theme="1"/>
        <rFont val="Calibri"/>
        <family val="2"/>
        <scheme val="minor"/>
      </rPr>
      <t>standard)</t>
    </r>
  </si>
  <si>
    <r>
      <t>Urbanek (280ml</t>
    </r>
    <r>
      <rPr>
        <sz val="12"/>
        <color theme="1"/>
        <rFont val="Calibri"/>
        <family val="2"/>
        <scheme val="minor"/>
      </rPr>
      <t>-salad-</t>
    </r>
    <r>
      <rPr>
        <b/>
        <sz val="12"/>
        <color theme="1"/>
        <rFont val="Calibri"/>
        <family val="2"/>
        <scheme val="minor"/>
      </rPr>
      <t>standard)</t>
    </r>
  </si>
  <si>
    <r>
      <t>Gazar Shim (550ml</t>
    </r>
    <r>
      <rPr>
        <sz val="12"/>
        <color theme="1"/>
        <rFont val="Calibri"/>
        <family val="2"/>
        <scheme val="minor"/>
      </rPr>
      <t>-salad-</t>
    </r>
    <r>
      <rPr>
        <b/>
        <sz val="12"/>
        <color theme="1"/>
        <rFont val="Calibri"/>
        <family val="2"/>
        <scheme val="minor"/>
      </rPr>
      <t>standard)</t>
    </r>
  </si>
  <si>
    <r>
      <t>Urbanek (550ml</t>
    </r>
    <r>
      <rPr>
        <sz val="12"/>
        <color theme="1"/>
        <rFont val="Calibri"/>
        <family val="2"/>
        <scheme val="minor"/>
      </rPr>
      <t>-salad-</t>
    </r>
    <r>
      <rPr>
        <b/>
        <sz val="12"/>
        <color theme="1"/>
        <rFont val="Calibri"/>
        <family val="2"/>
        <scheme val="minor"/>
      </rPr>
      <t>standard)</t>
    </r>
  </si>
  <si>
    <r>
      <t>Vidan (550ml</t>
    </r>
    <r>
      <rPr>
        <sz val="12"/>
        <color theme="1"/>
        <rFont val="Calibri"/>
        <family val="2"/>
        <scheme val="minor"/>
      </rPr>
      <t>-salad-</t>
    </r>
    <r>
      <rPr>
        <b/>
        <sz val="12"/>
        <color theme="1"/>
        <rFont val="Calibri"/>
        <family val="2"/>
        <scheme val="minor"/>
      </rPr>
      <t>standard)</t>
    </r>
  </si>
  <si>
    <r>
      <t>Amtlag (550ml</t>
    </r>
    <r>
      <rPr>
        <sz val="12"/>
        <color theme="1"/>
        <rFont val="Calibri"/>
        <family val="2"/>
        <scheme val="minor"/>
      </rPr>
      <t>-salad-</t>
    </r>
    <r>
      <rPr>
        <b/>
        <sz val="12"/>
        <color theme="1"/>
        <rFont val="Calibri"/>
        <family val="2"/>
        <scheme val="minor"/>
      </rPr>
      <t>standard)</t>
    </r>
  </si>
  <si>
    <r>
      <t>Others (550ml</t>
    </r>
    <r>
      <rPr>
        <sz val="12"/>
        <color theme="1"/>
        <rFont val="Calibri"/>
        <family val="2"/>
        <scheme val="minor"/>
      </rPr>
      <t>-salad-</t>
    </r>
    <r>
      <rPr>
        <b/>
        <sz val="12"/>
        <color theme="1"/>
        <rFont val="Calibri"/>
        <family val="2"/>
        <scheme val="minor"/>
      </rPr>
      <t>standard)</t>
    </r>
  </si>
  <si>
    <r>
      <t>Vidan (720g</t>
    </r>
    <r>
      <rPr>
        <sz val="12"/>
        <color theme="1"/>
        <rFont val="Calibri"/>
        <family val="2"/>
        <scheme val="minor"/>
      </rPr>
      <t>-compot</t>
    </r>
    <r>
      <rPr>
        <b/>
        <sz val="12"/>
        <color theme="1"/>
        <rFont val="Calibri"/>
        <family val="2"/>
        <scheme val="minor"/>
      </rPr>
      <t>)</t>
    </r>
  </si>
  <si>
    <r>
      <t>Gut &amp; Günstig (720g</t>
    </r>
    <r>
      <rPr>
        <sz val="12"/>
        <color theme="1"/>
        <rFont val="Calibri"/>
        <family val="2"/>
        <scheme val="minor"/>
      </rPr>
      <t>-compot</t>
    </r>
    <r>
      <rPr>
        <b/>
        <sz val="12"/>
        <color theme="1"/>
        <rFont val="Calibri"/>
        <family val="2"/>
        <scheme val="minor"/>
      </rPr>
      <t>)</t>
    </r>
  </si>
  <si>
    <r>
      <t>Vidan (280ml</t>
    </r>
    <r>
      <rPr>
        <sz val="12"/>
        <color theme="1"/>
        <rFont val="Calibri"/>
        <family val="2"/>
        <scheme val="minor"/>
      </rPr>
      <t>-salad-</t>
    </r>
    <r>
      <rPr>
        <b/>
        <sz val="12"/>
        <color theme="1"/>
        <rFont val="Calibri"/>
        <family val="2"/>
        <scheme val="minor"/>
      </rPr>
      <t>standard)</t>
    </r>
  </si>
  <si>
    <r>
      <t>Amtlag (280ml</t>
    </r>
    <r>
      <rPr>
        <sz val="12"/>
        <color theme="1"/>
        <rFont val="Calibri"/>
        <family val="2"/>
        <scheme val="minor"/>
      </rPr>
      <t>-salad-</t>
    </r>
    <r>
      <rPr>
        <b/>
        <sz val="12"/>
        <color theme="1"/>
        <rFont val="Calibri"/>
        <family val="2"/>
        <scheme val="minor"/>
      </rPr>
      <t>standard)</t>
    </r>
  </si>
  <si>
    <r>
      <t>Others (280ml</t>
    </r>
    <r>
      <rPr>
        <sz val="12"/>
        <color theme="1"/>
        <rFont val="Calibri"/>
        <family val="2"/>
        <scheme val="minor"/>
      </rPr>
      <t>-salad-</t>
    </r>
    <r>
      <rPr>
        <b/>
        <sz val="12"/>
        <color theme="1"/>
        <rFont val="Calibri"/>
        <family val="2"/>
        <scheme val="minor"/>
      </rPr>
      <t>standard)</t>
    </r>
  </si>
  <si>
    <r>
      <t>Gazar Shim (305ml</t>
    </r>
    <r>
      <rPr>
        <sz val="12"/>
        <color theme="1"/>
        <rFont val="Calibri"/>
        <family val="2"/>
        <scheme val="minor"/>
      </rPr>
      <t>-honey-</t>
    </r>
    <r>
      <rPr>
        <b/>
        <sz val="12"/>
        <color theme="1"/>
        <rFont val="Calibri"/>
        <family val="2"/>
        <scheme val="minor"/>
      </rPr>
      <t>standard)</t>
    </r>
  </si>
  <si>
    <r>
      <t>Gazar Shim (220ml</t>
    </r>
    <r>
      <rPr>
        <sz val="12"/>
        <color theme="1"/>
        <rFont val="Calibri"/>
        <family val="2"/>
        <scheme val="minor"/>
      </rPr>
      <t>-honey-</t>
    </r>
    <r>
      <rPr>
        <b/>
        <sz val="12"/>
        <color theme="1"/>
        <rFont val="Calibri"/>
        <family val="2"/>
        <scheme val="minor"/>
      </rPr>
      <t>standard)</t>
    </r>
  </si>
  <si>
    <r>
      <t>Urbanek (510g</t>
    </r>
    <r>
      <rPr>
        <sz val="12"/>
        <color theme="1"/>
        <rFont val="Calibri"/>
        <family val="2"/>
        <scheme val="minor"/>
      </rPr>
      <t>-hot-lecho</t>
    </r>
    <r>
      <rPr>
        <b/>
        <sz val="12"/>
        <color theme="1"/>
        <rFont val="Calibri"/>
        <family val="2"/>
        <scheme val="minor"/>
      </rPr>
      <t>)</t>
    </r>
  </si>
  <si>
    <t>Nomin Foods LLC</t>
  </si>
  <si>
    <r>
      <t>Gazar Shim (1680ml</t>
    </r>
    <r>
      <rPr>
        <sz val="12"/>
        <color theme="1"/>
        <rFont val="Calibri"/>
        <family val="2"/>
        <scheme val="minor"/>
      </rPr>
      <t>-pickles-</t>
    </r>
    <r>
      <rPr>
        <b/>
        <sz val="12"/>
        <color theme="1"/>
        <rFont val="Calibri"/>
        <family val="2"/>
        <scheme val="minor"/>
      </rPr>
      <t>standard)</t>
    </r>
  </si>
  <si>
    <r>
      <t>Urbanek (1680ml</t>
    </r>
    <r>
      <rPr>
        <sz val="12"/>
        <color theme="1"/>
        <rFont val="Calibri"/>
        <family val="2"/>
        <scheme val="minor"/>
      </rPr>
      <t>-pickles-</t>
    </r>
    <r>
      <rPr>
        <b/>
        <sz val="12"/>
        <color theme="1"/>
        <rFont val="Calibri"/>
        <family val="2"/>
        <scheme val="minor"/>
      </rPr>
      <t>standard)</t>
    </r>
  </si>
  <si>
    <r>
      <t>Vidan (1680ml</t>
    </r>
    <r>
      <rPr>
        <sz val="12"/>
        <color theme="1"/>
        <rFont val="Calibri"/>
        <family val="2"/>
        <scheme val="minor"/>
      </rPr>
      <t>-pickles-</t>
    </r>
    <r>
      <rPr>
        <b/>
        <sz val="12"/>
        <color theme="1"/>
        <rFont val="Calibri"/>
        <family val="2"/>
        <scheme val="minor"/>
      </rPr>
      <t>standard)</t>
    </r>
  </si>
  <si>
    <r>
      <t>Others (1680ml</t>
    </r>
    <r>
      <rPr>
        <sz val="12"/>
        <color theme="1"/>
        <rFont val="Calibri"/>
        <family val="2"/>
        <scheme val="minor"/>
      </rPr>
      <t>-pickles-</t>
    </r>
    <r>
      <rPr>
        <b/>
        <sz val="12"/>
        <color theme="1"/>
        <rFont val="Calibri"/>
        <family val="2"/>
        <scheme val="minor"/>
      </rPr>
      <t>standard)</t>
    </r>
  </si>
  <si>
    <t>Urbanek Mongol LLC</t>
  </si>
  <si>
    <t xml:space="preserve">Various Energy drinks </t>
  </si>
  <si>
    <t>Chapriko LLC</t>
  </si>
  <si>
    <t>Uksusnaya Kislota (vinegar)</t>
  </si>
  <si>
    <t>Pepsi + Mirinda + 7up + Lipton + Sting + Mountain Dew</t>
  </si>
  <si>
    <t>Ölzii suu</t>
  </si>
  <si>
    <t>Ölzii yogurt</t>
  </si>
  <si>
    <t>L'Occitane</t>
  </si>
  <si>
    <t>Luglio</t>
  </si>
  <si>
    <t>Ovko + HiPP</t>
  </si>
  <si>
    <t>MGL aqua LLC</t>
  </si>
  <si>
    <t>Monos Group LLC</t>
  </si>
  <si>
    <t>Abiko LLC</t>
  </si>
  <si>
    <t>Sunflower oil</t>
  </si>
  <si>
    <t>Shar Doctor LLC</t>
  </si>
  <si>
    <t>Monjuice LLC</t>
  </si>
  <si>
    <t>Vitsamo LLC</t>
  </si>
  <si>
    <t>Other Gut &amp; Günstig products</t>
  </si>
  <si>
    <t>Redbull Supreme (0.15L)</t>
  </si>
  <si>
    <t>Others / unidentified</t>
  </si>
  <si>
    <t>Nescafé</t>
  </si>
  <si>
    <t>Mon-Adonis LLC</t>
  </si>
  <si>
    <t>Yanta (+Rossiyanka)</t>
  </si>
  <si>
    <t>TOTAL GLASS</t>
  </si>
  <si>
    <t>Gut &amp; Günstig importer</t>
  </si>
  <si>
    <t>Landfill</t>
  </si>
  <si>
    <t>Other Kowar products</t>
  </si>
  <si>
    <r>
      <t xml:space="preserve">Alimkhan </t>
    </r>
    <r>
      <rPr>
        <sz val="12"/>
        <color theme="1"/>
        <rFont val="Calibri"/>
        <family val="2"/>
        <scheme val="minor"/>
      </rPr>
      <t>(baby food)</t>
    </r>
  </si>
  <si>
    <t>Gold M</t>
  </si>
  <si>
    <t>Golden Sweet Co. Ltd</t>
  </si>
  <si>
    <t>Yanta (mayonnaise + tomato paste)</t>
  </si>
  <si>
    <t>Bagro products</t>
  </si>
  <si>
    <t>Other Vidan products</t>
  </si>
  <si>
    <t>Hosen (olives)</t>
  </si>
  <si>
    <t>Odenwald</t>
  </si>
  <si>
    <t>Undrakh Mandakh Govi</t>
  </si>
  <si>
    <t>Fruits in sirop</t>
  </si>
  <si>
    <t>Solntse products</t>
  </si>
  <si>
    <t>Mongolia Sun Fruit Ltd</t>
  </si>
  <si>
    <t>Kubahchka</t>
  </si>
  <si>
    <t>Ricco (jam)</t>
  </si>
  <si>
    <t>Maxeev (jam)</t>
  </si>
  <si>
    <t>PP (5) or LDPE (4)</t>
  </si>
  <si>
    <t>Downcycling</t>
  </si>
  <si>
    <t>Various cookies</t>
  </si>
  <si>
    <t>Stimo</t>
  </si>
  <si>
    <t>Arvai Bakery</t>
  </si>
  <si>
    <t>Altan Garid LLC</t>
  </si>
  <si>
    <t>Delbee (toilet paper)</t>
  </si>
  <si>
    <t>Next Stop Co. Ltd</t>
  </si>
  <si>
    <t>Khögjil Trade LLC</t>
  </si>
  <si>
    <t>Ariun (tissue)</t>
  </si>
  <si>
    <t>Mongolian Star Distribution LLC</t>
  </si>
  <si>
    <t>Scott (reusable towel)</t>
  </si>
  <si>
    <t>Suld Shonkhor LLC</t>
  </si>
  <si>
    <t>Tody (baby diapers</t>
  </si>
  <si>
    <t>JCS Melnik (pasta)</t>
  </si>
  <si>
    <t>AGI LLC</t>
  </si>
  <si>
    <t>Altan Taria LLC</t>
  </si>
  <si>
    <t>Noodles</t>
  </si>
  <si>
    <t>Buudain Egchig LLC</t>
  </si>
  <si>
    <t>Erjiech LLC</t>
  </si>
  <si>
    <t>Bread</t>
  </si>
  <si>
    <t>Monfoodland LLC</t>
  </si>
  <si>
    <t>Movieos (cereales)</t>
  </si>
  <si>
    <t>Ökhruuch Bakery Co. Ltd</t>
  </si>
  <si>
    <t>Onon Khatan Eej LLC</t>
  </si>
  <si>
    <t>Ögööj Nar</t>
  </si>
  <si>
    <t>Tumen Jinchin LLC</t>
  </si>
  <si>
    <t>Bars (chips)</t>
  </si>
  <si>
    <t>Multi-layer</t>
  </si>
  <si>
    <t>King Snack (chips)</t>
  </si>
  <si>
    <t>OB Kapital LLC</t>
  </si>
  <si>
    <t>Chips</t>
  </si>
  <si>
    <t>Lays (chips)</t>
  </si>
  <si>
    <t>Batsol LLC</t>
  </si>
  <si>
    <t>Seaweed</t>
  </si>
  <si>
    <t>Various cookies and bread</t>
  </si>
  <si>
    <t>Rochen (candies)</t>
  </si>
  <si>
    <t>Savor (spices)</t>
  </si>
  <si>
    <t>Mandakh Sutai Trade LLC</t>
  </si>
  <si>
    <t>Chandmani Orgil Trade LLC</t>
  </si>
  <si>
    <t>Sambo (wet tissue)</t>
  </si>
  <si>
    <t>Alpen Gold (chocolate)</t>
  </si>
  <si>
    <t>Other food products</t>
  </si>
  <si>
    <t>OD Group</t>
  </si>
  <si>
    <t>Flour</t>
  </si>
  <si>
    <t>Delgerekh Foods LLC</t>
  </si>
  <si>
    <t>Kovrichka (cookies)</t>
  </si>
  <si>
    <t>Jagar International LLC</t>
  </si>
  <si>
    <t>Hygienic napkins</t>
  </si>
  <si>
    <t>Zöölön Bogd LLC</t>
  </si>
  <si>
    <t>Tea</t>
  </si>
  <si>
    <t>Chuvuut Gol LLA</t>
  </si>
  <si>
    <t>Spices</t>
  </si>
  <si>
    <t>Yanmal</t>
  </si>
  <si>
    <t>Socks</t>
  </si>
  <si>
    <t>Aleisk Impeks LLC</t>
  </si>
  <si>
    <t>Aleika</t>
  </si>
  <si>
    <t>Ichgan trade LLC</t>
  </si>
  <si>
    <t>Atar örgöö XK</t>
  </si>
  <si>
    <t>Undsen Khuns LLC</t>
  </si>
  <si>
    <t>Mars products</t>
  </si>
  <si>
    <t>Cakes</t>
  </si>
  <si>
    <t>Danista Bakery LLC</t>
  </si>
  <si>
    <t>Oreo</t>
  </si>
  <si>
    <t>Mu.u.uch croissant</t>
  </si>
  <si>
    <t>Win2 Chips</t>
  </si>
  <si>
    <t>Libra Crackers</t>
  </si>
  <si>
    <t>Various ice creams</t>
  </si>
  <si>
    <t>ITB LLC</t>
  </si>
  <si>
    <t>Orion (choco pie + O'Rice)</t>
  </si>
  <si>
    <t>McVities cookies</t>
  </si>
  <si>
    <t>Konti cookies</t>
  </si>
  <si>
    <t>Parle cookies</t>
  </si>
  <si>
    <t>MCC Foods LLC</t>
  </si>
  <si>
    <t>Amtat Tsamkhag LLC</t>
  </si>
  <si>
    <t>Rotfront cookies</t>
  </si>
  <si>
    <t>Guan Chi Danbaoli LLC</t>
  </si>
  <si>
    <t>Yeast</t>
  </si>
  <si>
    <t>Zebra International Distribution LLC</t>
  </si>
  <si>
    <t>Oatmeal</t>
  </si>
  <si>
    <t>Green Impex LLC</t>
  </si>
  <si>
    <t>Rice</t>
  </si>
  <si>
    <t>Omo</t>
  </si>
  <si>
    <t>Various bread + cookies</t>
  </si>
  <si>
    <t>Gut &amp; Günstig (chocolate + Pasta + cookies)</t>
  </si>
  <si>
    <t>Maxeev (mayonnaise)</t>
  </si>
  <si>
    <t>Kowar nuts</t>
  </si>
  <si>
    <t>Tavan Bogd Group</t>
  </si>
  <si>
    <t>KFC sauce</t>
  </si>
  <si>
    <t>Sain Savan</t>
  </si>
  <si>
    <t>Savon</t>
  </si>
  <si>
    <t>Dawn peanuts</t>
  </si>
  <si>
    <t>Yeye instant coffee</t>
  </si>
  <si>
    <t>Bosa Holding LLC</t>
  </si>
  <si>
    <t>Tseneg + Eko</t>
  </si>
  <si>
    <t>Aartz</t>
  </si>
  <si>
    <t>MacCoffee + MacChocolate + Klassno</t>
  </si>
  <si>
    <t>Sodon Foods LLC</t>
  </si>
  <si>
    <t>Honey tea</t>
  </si>
  <si>
    <t>Mokate</t>
  </si>
  <si>
    <t>Sain International LLC</t>
  </si>
  <si>
    <t>Tess tsai</t>
  </si>
  <si>
    <t>Maksimus Distribution LLC</t>
  </si>
  <si>
    <t>Various candies</t>
  </si>
  <si>
    <t>Candy</t>
  </si>
  <si>
    <t>Ögööj Chikher Boov LLC</t>
  </si>
  <si>
    <t>Od toilet paper</t>
  </si>
  <si>
    <t>Tngri Invest LLC</t>
  </si>
  <si>
    <t>Tengeriin Khishig LLC</t>
  </si>
  <si>
    <t>Cookies</t>
  </si>
  <si>
    <t>Temuujin Orgil</t>
  </si>
  <si>
    <t>Jiguur Fiid LLC</t>
  </si>
  <si>
    <t>Candies</t>
  </si>
  <si>
    <t>Eco Plus (toilet paper)</t>
  </si>
  <si>
    <t>Lapcha (noodles) + Slava + …</t>
  </si>
  <si>
    <t>PastaRicco</t>
  </si>
  <si>
    <t>Bayarjavkhan Ltc</t>
  </si>
  <si>
    <t>Golden Sweet Co Ltd</t>
  </si>
  <si>
    <t>TeaKing</t>
  </si>
  <si>
    <t>Nongshim (kimchi noodles)</t>
  </si>
  <si>
    <t>Altan Tovkhoch Foods LLC</t>
  </si>
  <si>
    <t>Khanumanda LLC</t>
  </si>
  <si>
    <t>Fruits</t>
  </si>
  <si>
    <t>Taivan Zul LLC</t>
  </si>
  <si>
    <t>Gut &amp; Günstig (Chips and cookies)</t>
  </si>
  <si>
    <t>Vanelli cookies</t>
  </si>
  <si>
    <t>Various wet tissues and napkins</t>
  </si>
  <si>
    <t>Various body products</t>
  </si>
  <si>
    <t>Lotte (Choco Pie and others)</t>
  </si>
  <si>
    <t>Rice noodles and others</t>
  </si>
  <si>
    <t>Coffee/creamer</t>
  </si>
  <si>
    <t>Virosco (choco pie)</t>
  </si>
  <si>
    <t>Greenleaf (toilet paper + tissue)</t>
  </si>
  <si>
    <t>Best Bakery</t>
  </si>
  <si>
    <t>Talkh Chikher XK</t>
  </si>
  <si>
    <t>Solongo (candies)</t>
  </si>
  <si>
    <t>Haribo and others</t>
  </si>
  <si>
    <t>Cookies + bread</t>
  </si>
  <si>
    <t>Mozzarella</t>
  </si>
  <si>
    <t>rice and others</t>
  </si>
  <si>
    <t>Khuv Od</t>
  </si>
  <si>
    <t>Saussage</t>
  </si>
  <si>
    <t>Eko (toilet paper + wet tissue)</t>
  </si>
  <si>
    <t>Noodles and others</t>
  </si>
  <si>
    <t>Cofler Block</t>
  </si>
  <si>
    <t>Other types of goods (pens, carstuff…)</t>
  </si>
  <si>
    <t>Other soaps</t>
  </si>
  <si>
    <t>Vitamins and stuff</t>
  </si>
  <si>
    <t>Bread + cookies</t>
  </si>
  <si>
    <t>Jigd Khuch LLC</t>
  </si>
  <si>
    <t>Mayonnaise</t>
  </si>
  <si>
    <t>Nestlé baby stuff</t>
  </si>
  <si>
    <t>Chinggis Khan (0.75L)</t>
  </si>
  <si>
    <t>Green Coffee</t>
  </si>
  <si>
    <t>GMG tea</t>
  </si>
  <si>
    <t>COMPANY</t>
  </si>
  <si>
    <t>NUMBER OF ITEM</t>
  </si>
  <si>
    <t>Other liquor</t>
  </si>
  <si>
    <t>Other food</t>
  </si>
  <si>
    <t>WEIGHT (kg)</t>
  </si>
  <si>
    <t>ORIGIN OF PRODUCTION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</si>
  <si>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>BY WASTE MANAGEMENT PROCESS</t>
    </r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</si>
  <si>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TOP3 COMPANIES </t>
    </r>
    <r>
      <rPr>
        <sz val="12"/>
        <color theme="1"/>
        <rFont val="Calibri"/>
        <family val="2"/>
        <scheme val="minor"/>
      </rPr>
      <t>(ABOVE 1%)</t>
    </r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</si>
  <si>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TOP8 COMPANIES </t>
    </r>
    <r>
      <rPr>
        <sz val="12"/>
        <color theme="1"/>
        <rFont val="Calibri"/>
        <family val="2"/>
        <scheme val="minor"/>
      </rPr>
      <t>(MORE 2%)</t>
    </r>
  </si>
  <si>
    <t>WM PROCESS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</si>
  <si>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TOP7 COMPANIES </t>
    </r>
    <r>
      <rPr>
        <sz val="12"/>
        <color theme="1"/>
        <rFont val="Calibri"/>
        <family val="2"/>
        <scheme val="minor"/>
      </rPr>
      <t>(MORE 1%)</t>
    </r>
  </si>
  <si>
    <t>Glass bottles</t>
  </si>
  <si>
    <t>Glass jars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</si>
  <si>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>BY TYPE OF ITEM</t>
    </r>
  </si>
  <si>
    <t>TYPE OF ITEM</t>
  </si>
  <si>
    <t>OVERALL</t>
  </si>
  <si>
    <t>TYPE OF WASTE</t>
  </si>
  <si>
    <t>PET bottles</t>
  </si>
  <si>
    <t>Non-PET containers and items</t>
  </si>
  <si>
    <t>Tetra Paks</t>
  </si>
  <si>
    <t>Aluminum cans</t>
  </si>
  <si>
    <t>Steel cans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</si>
  <si>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BY TYPE OF WASTE </t>
    </r>
    <r>
      <rPr>
        <sz val="12"/>
        <color theme="1"/>
        <rFont val="Calibri"/>
        <family val="2"/>
        <scheme val="minor"/>
      </rPr>
      <t>(MAIN CATEGORIES)</t>
    </r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</si>
  <si>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BY TYPE OF WASTE </t>
    </r>
    <r>
      <rPr>
        <sz val="12"/>
        <color theme="1"/>
        <rFont val="Calibri"/>
        <family val="2"/>
        <scheme val="minor"/>
      </rPr>
      <t>(SUB-CATEGORIES)</t>
    </r>
  </si>
  <si>
    <r>
      <t xml:space="preserve">Plastic </t>
    </r>
    <r>
      <rPr>
        <sz val="12"/>
        <color theme="1"/>
        <rFont val="Calibri"/>
        <family val="2"/>
        <scheme val="minor"/>
      </rPr>
      <t>bottles, bags and wrapping</t>
    </r>
  </si>
  <si>
    <r>
      <t xml:space="preserve">Glass </t>
    </r>
    <r>
      <rPr>
        <sz val="12"/>
        <color theme="1"/>
        <rFont val="Calibri"/>
        <family val="2"/>
        <scheme val="minor"/>
      </rPr>
      <t>bottles and jars</t>
    </r>
  </si>
  <si>
    <r>
      <t xml:space="preserve">Metal </t>
    </r>
    <r>
      <rPr>
        <sz val="12"/>
        <color theme="1"/>
        <rFont val="Calibri"/>
        <family val="2"/>
        <scheme val="minor"/>
      </rPr>
      <t>cans</t>
    </r>
  </si>
  <si>
    <t>MAIN TYPES OF WASTE</t>
  </si>
  <si>
    <t>Car product</t>
  </si>
  <si>
    <t>Mobil (motor oil)</t>
  </si>
  <si>
    <t>Kixx (motor oil)</t>
  </si>
  <si>
    <t>Sibiria (anti-freeze)</t>
  </si>
  <si>
    <t>Volga oil (motor oil)</t>
  </si>
  <si>
    <t>Starex (anti-freeze)</t>
  </si>
  <si>
    <t>Organik Progress (anti-freeze)</t>
  </si>
  <si>
    <t>Chelsea (anti-freeze)</t>
  </si>
  <si>
    <t>Mannol (motor oil)</t>
  </si>
  <si>
    <t>S-Oil (Dragon) (motor oil)</t>
  </si>
  <si>
    <t>SK Zic (motor oil)</t>
  </si>
  <si>
    <t>Sibi (motor oil)</t>
  </si>
  <si>
    <t>Siboil (motor oil)</t>
  </si>
  <si>
    <t>OilRight (motor oil)</t>
  </si>
  <si>
    <t>Moroz off (anti-freeze)</t>
  </si>
  <si>
    <t>Coffee and tea</t>
  </si>
  <si>
    <t>MacCoffee and tea</t>
  </si>
  <si>
    <t>Jacobs Coffee and tea</t>
  </si>
  <si>
    <t>Dawn (Other food)</t>
  </si>
  <si>
    <t>Kangaroo (Other food)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</si>
  <si>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BY MAIN TYPE OF PRODUCT </t>
    </r>
  </si>
  <si>
    <t>MAIN TYPE OF PRODUCT</t>
  </si>
  <si>
    <t>Drink packaging</t>
  </si>
  <si>
    <t>Food packaging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</si>
  <si>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BY SUBCATEGORY OF PRODUCT </t>
    </r>
  </si>
  <si>
    <t>SUBCATEGORY OF PRODUCT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</si>
  <si>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TOP10 COMPANIES </t>
    </r>
    <r>
      <rPr>
        <sz val="12"/>
        <color theme="1"/>
        <rFont val="Calibri"/>
        <family val="2"/>
        <scheme val="minor"/>
      </rPr>
      <t>(ABOVE 60 ITEMS)</t>
    </r>
  </si>
  <si>
    <t>TOTAL PLASTIC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</si>
  <si>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TOP8 COMPANIES </t>
    </r>
    <r>
      <rPr>
        <sz val="12"/>
        <color theme="1"/>
        <rFont val="Calibri"/>
        <family val="2"/>
        <scheme val="minor"/>
      </rPr>
      <t>(ABOVE 1%)</t>
    </r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</si>
  <si>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>BY TYPE ORIGIN OF PRODUCTION</t>
    </r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</si>
  <si>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TOP5 COMPANIES </t>
    </r>
    <r>
      <rPr>
        <sz val="12"/>
        <color theme="1"/>
        <rFont val="Calibri"/>
        <family val="2"/>
        <scheme val="minor"/>
      </rPr>
      <t>(ABOVE 4%)</t>
    </r>
  </si>
  <si>
    <t>Eden (1L)</t>
  </si>
  <si>
    <t>Eden (0.7L)</t>
  </si>
  <si>
    <t>Redbull</t>
  </si>
  <si>
    <t>Other imported food</t>
  </si>
  <si>
    <r>
      <t xml:space="preserve">Gut &amp; Günstig Erdenüsse </t>
    </r>
    <r>
      <rPr>
        <sz val="12"/>
        <color theme="1"/>
        <rFont val="Calibri"/>
        <family val="2"/>
        <scheme val="minor"/>
      </rPr>
      <t>(peanuts)</t>
    </r>
  </si>
  <si>
    <r>
      <t xml:space="preserve">Gungun </t>
    </r>
    <r>
      <rPr>
        <sz val="12"/>
        <color theme="1"/>
        <rFont val="Calibri"/>
        <family val="2"/>
        <scheme val="minor"/>
      </rPr>
      <t>(peanuts)</t>
    </r>
  </si>
  <si>
    <t xml:space="preserve">Nestlé Nan optipro </t>
  </si>
  <si>
    <r>
      <t xml:space="preserve">Friends </t>
    </r>
    <r>
      <rPr>
        <sz val="12"/>
        <color theme="1"/>
        <rFont val="Calibri"/>
        <family val="2"/>
        <scheme val="minor"/>
      </rPr>
      <t>(peanuts)</t>
    </r>
  </si>
  <si>
    <r>
      <t xml:space="preserve">Erdnüsse </t>
    </r>
    <r>
      <rPr>
        <sz val="12"/>
        <color theme="1"/>
        <rFont val="Calibri"/>
        <family val="2"/>
        <scheme val="minor"/>
      </rPr>
      <t>(peanuts)</t>
    </r>
  </si>
  <si>
    <t>Ice cream (cover)</t>
  </si>
  <si>
    <t>AVERAGE WEIGHT (g)</t>
  </si>
  <si>
    <t>TYPE OF PLASTIC</t>
  </si>
  <si>
    <t>Unidentified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</si>
  <si>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TOP10 COMPANIES </t>
    </r>
    <r>
      <rPr>
        <sz val="12"/>
        <color theme="1"/>
        <rFont val="Calibri"/>
        <family val="2"/>
        <scheme val="minor"/>
      </rPr>
      <t>(MORE 1%)</t>
    </r>
  </si>
  <si>
    <r>
      <t xml:space="preserve">CONSOLIDATED DATA: </t>
    </r>
    <r>
      <rPr>
        <b/>
        <sz val="12"/>
        <color theme="1"/>
        <rFont val="Calibri"/>
        <family val="2"/>
        <scheme val="minor"/>
      </rPr>
      <t>BY TYPE OF PRODUCT</t>
    </r>
  </si>
  <si>
    <t>Praying oil</t>
  </si>
  <si>
    <t>Other items (non-packaging)</t>
  </si>
  <si>
    <r>
      <t xml:space="preserve">CONSOLIDATED DATA: </t>
    </r>
    <r>
      <rPr>
        <b/>
        <sz val="12"/>
        <color theme="1"/>
        <rFont val="Calibri"/>
        <family val="2"/>
        <scheme val="minor"/>
      </rPr>
      <t>BY MAIN TYPE OF PRODUCT</t>
    </r>
  </si>
  <si>
    <t>Plastic items</t>
  </si>
  <si>
    <t>Other plastic packaging, bags and wrapping</t>
  </si>
  <si>
    <t xml:space="preserve"> Mix LDPE/HDPE</t>
  </si>
  <si>
    <t>Unidentified (PET or PP or HDPE)</t>
  </si>
  <si>
    <t>Hard plastic (non-PET containers and items)</t>
  </si>
  <si>
    <t>Soft plastic (plastic bags and wrapping)</t>
  </si>
  <si>
    <t>TOTAL METAL</t>
  </si>
  <si>
    <t xml:space="preserve">Reusing </t>
  </si>
  <si>
    <t>Other (non-food/drink) packaging</t>
  </si>
  <si>
    <t>GBT Trading LLC</t>
  </si>
  <si>
    <t>MSM Group</t>
  </si>
  <si>
    <t>Monova Trade LLC</t>
  </si>
  <si>
    <t>Akuma</t>
  </si>
  <si>
    <t>Sod Mongol Group</t>
  </si>
  <si>
    <t>Intramaximum LLC</t>
  </si>
  <si>
    <t>Nano International LLC</t>
  </si>
  <si>
    <t>FMCG Global LLC</t>
  </si>
  <si>
    <t>mn.oriflame.com</t>
  </si>
  <si>
    <r>
      <t xml:space="preserve">AVERAGE WEIGHT </t>
    </r>
    <r>
      <rPr>
        <sz val="12"/>
        <color theme="1"/>
        <rFont val="Calibri"/>
        <family val="2"/>
        <scheme val="minor"/>
      </rPr>
      <t>(g)</t>
    </r>
  </si>
  <si>
    <t>Amway importer</t>
  </si>
  <si>
    <t>Avista + Dura Max (motor oil)</t>
  </si>
  <si>
    <t>Dove + Vaseline + Sunsilk (Unilever)</t>
  </si>
  <si>
    <t>Zöökhii + Elgeh tarag</t>
  </si>
  <si>
    <t>Spedstvo Belizha importer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</si>
  <si>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TOP14 COMPANIES </t>
    </r>
    <r>
      <rPr>
        <sz val="12"/>
        <color theme="1"/>
        <rFont val="Calibri"/>
        <family val="2"/>
        <scheme val="minor"/>
      </rPr>
      <t>(</t>
    </r>
    <r>
      <rPr>
        <sz val="12"/>
        <color theme="1"/>
        <rFont val="Calibri (Corps)"/>
      </rPr>
      <t>OVER 10 ITEMS</t>
    </r>
    <r>
      <rPr>
        <sz val="12"/>
        <color theme="1"/>
        <rFont val="Calibri"/>
        <family val="2"/>
        <scheme val="minor"/>
      </rPr>
      <t>)</t>
    </r>
  </si>
  <si>
    <t>Rotfront importer</t>
  </si>
  <si>
    <t>M International Mongolia</t>
  </si>
  <si>
    <t>BluMAX / MiMAX…</t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</si>
  <si>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 xml:space="preserve">TOP12 COMPANIES </t>
    </r>
    <r>
      <rPr>
        <sz val="12"/>
        <color theme="1"/>
        <rFont val="Calibri"/>
        <family val="2"/>
        <scheme val="minor"/>
      </rPr>
      <t>(</t>
    </r>
    <r>
      <rPr>
        <sz val="12"/>
        <color theme="1"/>
        <rFont val="Calibri (Corps)"/>
      </rPr>
      <t>OVER 40 ITEMS</t>
    </r>
    <r>
      <rPr>
        <sz val="12"/>
        <color theme="1"/>
        <rFont val="Calibri"/>
        <family val="2"/>
        <scheme val="minor"/>
      </rPr>
      <t>)</t>
    </r>
  </si>
  <si>
    <r>
      <rPr>
        <sz val="12"/>
        <color theme="1"/>
        <rFont val="Calibri"/>
        <family val="2"/>
        <scheme val="minor"/>
      </rPr>
      <t xml:space="preserve">CONSOLIDATED DATA: </t>
    </r>
    <r>
      <rPr>
        <b/>
        <sz val="12"/>
        <color theme="1"/>
        <rFont val="Calibri"/>
        <family val="2"/>
        <scheme val="minor"/>
      </rPr>
      <t>TOP5 COMPANIES (OVER 300 ITEMS)</t>
    </r>
  </si>
  <si>
    <t>Others</t>
  </si>
  <si>
    <r>
      <t>Gazar Shim (920ml</t>
    </r>
    <r>
      <rPr>
        <sz val="12"/>
        <color theme="1"/>
        <rFont val="Calibri"/>
        <family val="2"/>
        <scheme val="minor"/>
      </rPr>
      <t>-fruit-sirop-</t>
    </r>
    <r>
      <rPr>
        <b/>
        <sz val="12"/>
        <color theme="1"/>
        <rFont val="Calibri"/>
        <family val="2"/>
        <scheme val="minor"/>
      </rPr>
      <t>standard)</t>
    </r>
  </si>
  <si>
    <r>
      <t>Urbanek (920ml</t>
    </r>
    <r>
      <rPr>
        <sz val="12"/>
        <color theme="1"/>
        <rFont val="Calibri"/>
        <family val="2"/>
        <scheme val="minor"/>
      </rPr>
      <t>-fruit-sirop-</t>
    </r>
    <r>
      <rPr>
        <b/>
        <sz val="12"/>
        <color theme="1"/>
        <rFont val="Calibri"/>
        <family val="2"/>
        <scheme val="minor"/>
      </rPr>
      <t>standard)</t>
    </r>
  </si>
  <si>
    <r>
      <t>Vidan (920ml</t>
    </r>
    <r>
      <rPr>
        <sz val="12"/>
        <color theme="1"/>
        <rFont val="Calibri"/>
        <family val="2"/>
        <scheme val="minor"/>
      </rPr>
      <t>-fruit-sirop-</t>
    </r>
    <r>
      <rPr>
        <b/>
        <sz val="12"/>
        <color theme="1"/>
        <rFont val="Calibri"/>
        <family val="2"/>
        <scheme val="minor"/>
      </rPr>
      <t>standard)</t>
    </r>
  </si>
  <si>
    <r>
      <t>Kowar (920ml</t>
    </r>
    <r>
      <rPr>
        <sz val="12"/>
        <color theme="1"/>
        <rFont val="Calibri"/>
        <family val="2"/>
        <scheme val="minor"/>
      </rPr>
      <t>-fruit-sirop-</t>
    </r>
    <r>
      <rPr>
        <b/>
        <sz val="12"/>
        <color theme="1"/>
        <rFont val="Calibri"/>
        <family val="2"/>
        <scheme val="minor"/>
      </rPr>
      <t>standard)</t>
    </r>
  </si>
  <si>
    <t>Mobil oil imported by Petrovis</t>
  </si>
  <si>
    <t>Bayasakh Hulij LLC</t>
  </si>
  <si>
    <t>Golden Cycle Asia Pacific LLC</t>
  </si>
  <si>
    <t>Mobil importer</t>
  </si>
  <si>
    <t>Sibiria importer</t>
  </si>
  <si>
    <t>Delta</t>
  </si>
  <si>
    <t>Aluminum</t>
  </si>
  <si>
    <t>Del Monte importer</t>
  </si>
  <si>
    <t>Jacobs (and others coffe brands)</t>
  </si>
  <si>
    <t>CBH Care LLC</t>
  </si>
  <si>
    <t>Chasargana/Anis (0.45L)</t>
  </si>
  <si>
    <t>Wholesales wrapping</t>
  </si>
  <si>
    <t xml:space="preserve">Wholesales wrapping </t>
  </si>
  <si>
    <t>Altanboshgo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</si>
</sst>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)_ ;_ * \(#,##0.00\)_ ;_ * &quot;-&quot;??_)_ ;_ @_ "/>
    <numFmt numFmtId="164" formatCode="_ * #,##0_)_ ;_ * \(#,##0\)_ ;_ * &quot;-&quot;??_)_ ;_ @_ "/>
    <numFmt numFmtId="165" formatCode="0.0"/>
    <numFmt numFmtId="166" formatCode="#,##0.0"/>
    <numFmt numFmtId="167" formatCode="0.000%"/>
    <numFmt numFmtId="168" formatCode="#,##0\ [$MNT]"/>
  </numFmts>
  <fonts count="2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12"/>
      <color theme="1"/>
      <name val="Calibri (Corps)"/>
    </font>
    <font>
      <b/>
      <i/>
      <sz val="20"/>
      <color theme="1" tint="0.49998474074526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Fill="1"/>
    <xf numFmtId="0" fontId="1" fillId="0" borderId="0" xfId="0" applyFont="1" applyFill="1"/>
    <xf numFmtId="0" fontId="1" fillId="0" borderId="0" xfId="0" applyFont="1" applyAlignment="1">
      <alignment horizontal="right"/>
    </xf>
    <xf numFmtId="9" fontId="0" fillId="0" borderId="0" xfId="1" applyFont="1"/>
    <xf numFmtId="9" fontId="0" fillId="0" borderId="0" xfId="1" applyFont="1" applyAlignment="1">
      <alignment horizontal="left"/>
    </xf>
    <xf numFmtId="0" fontId="1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/>
    </xf>
    <xf numFmtId="0" fontId="5" fillId="0" borderId="1" xfId="0" applyFont="1" applyBorder="1"/>
    <xf numFmtId="0" fontId="0" fillId="0" borderId="1" xfId="0" applyBorder="1"/>
    <xf numFmtId="9" fontId="9" fillId="0" borderId="1" xfId="1" applyFont="1" applyBorder="1" applyAlignment="1">
      <alignment horizontal="left"/>
    </xf>
    <xf numFmtId="9" fontId="9" fillId="0" borderId="1" xfId="1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4" xfId="0" applyFont="1" applyBorder="1" applyAlignment="1">
      <alignment horizontal="left"/>
    </xf>
    <xf numFmtId="9" fontId="9" fillId="0" borderId="4" xfId="1" applyFont="1" applyBorder="1" applyAlignment="1">
      <alignment horizontal="left"/>
    </xf>
    <xf numFmtId="0" fontId="0" fillId="0" borderId="4" xfId="0" applyFont="1" applyBorder="1"/>
    <xf numFmtId="0" fontId="0" fillId="0" borderId="5" xfId="0" applyFont="1" applyBorder="1"/>
    <xf numFmtId="0" fontId="1" fillId="0" borderId="6" xfId="0" applyFont="1" applyBorder="1"/>
    <xf numFmtId="0" fontId="0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9" xfId="0" applyFont="1" applyBorder="1" applyAlignment="1">
      <alignment horizontal="left"/>
    </xf>
    <xf numFmtId="9" fontId="9" fillId="0" borderId="9" xfId="1" applyFont="1" applyBorder="1" applyAlignment="1">
      <alignment horizontal="left"/>
    </xf>
    <xf numFmtId="0" fontId="0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2" xfId="0" applyFont="1" applyBorder="1" applyAlignment="1">
      <alignment horizontal="left"/>
    </xf>
    <xf numFmtId="9" fontId="9" fillId="0" borderId="12" xfId="1" applyFont="1" applyBorder="1" applyAlignment="1">
      <alignment horizontal="left"/>
    </xf>
    <xf numFmtId="0" fontId="0" fillId="0" borderId="12" xfId="0" applyFont="1" applyBorder="1"/>
    <xf numFmtId="0" fontId="0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15" xfId="0" applyFont="1" applyBorder="1" applyAlignment="1">
      <alignment horizontal="left"/>
    </xf>
    <xf numFmtId="9" fontId="9" fillId="0" borderId="15" xfId="1" applyFont="1" applyBorder="1" applyAlignment="1">
      <alignment horizontal="left"/>
    </xf>
    <xf numFmtId="0" fontId="0" fillId="0" borderId="15" xfId="0" applyFont="1" applyBorder="1"/>
    <xf numFmtId="0" fontId="1" fillId="0" borderId="12" xfId="0" applyFont="1" applyBorder="1" applyAlignment="1">
      <alignment vertical="center" wrapText="1"/>
    </xf>
    <xf numFmtId="0" fontId="5" fillId="0" borderId="4" xfId="0" applyFont="1" applyBorder="1"/>
    <xf numFmtId="0" fontId="5" fillId="0" borderId="9" xfId="0" applyFont="1" applyBorder="1"/>
    <xf numFmtId="9" fontId="9" fillId="0" borderId="12" xfId="1" applyNumberFormat="1" applyFont="1" applyBorder="1" applyAlignment="1">
      <alignment horizontal="left"/>
    </xf>
    <xf numFmtId="9" fontId="6" fillId="0" borderId="0" xfId="0" applyNumberFormat="1" applyFont="1" applyAlignment="1">
      <alignment horizontal="right"/>
    </xf>
    <xf numFmtId="0" fontId="1" fillId="0" borderId="2" xfId="0" applyFont="1" applyBorder="1"/>
    <xf numFmtId="0" fontId="0" fillId="0" borderId="2" xfId="0" applyFont="1" applyBorder="1" applyAlignment="1">
      <alignment horizontal="left"/>
    </xf>
    <xf numFmtId="9" fontId="9" fillId="0" borderId="2" xfId="1" applyFont="1" applyBorder="1" applyAlignment="1">
      <alignment horizontal="left"/>
    </xf>
    <xf numFmtId="0" fontId="0" fillId="0" borderId="2" xfId="0" applyFont="1" applyBorder="1"/>
    <xf numFmtId="0" fontId="0" fillId="0" borderId="17" xfId="0" applyFont="1" applyBorder="1" applyAlignment="1">
      <alignment horizontal="left"/>
    </xf>
    <xf numFmtId="9" fontId="9" fillId="0" borderId="17" xfId="1" applyFont="1" applyBorder="1" applyAlignment="1">
      <alignment horizontal="left"/>
    </xf>
    <xf numFmtId="0" fontId="0" fillId="0" borderId="17" xfId="0" applyFont="1" applyBorder="1"/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8" xfId="0" applyFont="1" applyBorder="1"/>
    <xf numFmtId="0" fontId="0" fillId="0" borderId="12" xfId="0" applyBorder="1" applyAlignment="1">
      <alignment horizontal="left"/>
    </xf>
    <xf numFmtId="0" fontId="0" fillId="0" borderId="17" xfId="0" applyBorder="1"/>
    <xf numFmtId="0" fontId="5" fillId="0" borderId="12" xfId="0" applyFont="1" applyBorder="1"/>
    <xf numFmtId="0" fontId="1" fillId="0" borderId="21" xfId="0" applyFont="1" applyBorder="1"/>
    <xf numFmtId="0" fontId="0" fillId="0" borderId="21" xfId="0" applyFont="1" applyBorder="1"/>
    <xf numFmtId="0" fontId="1" fillId="0" borderId="8" xfId="0" applyFont="1" applyFill="1" applyBorder="1"/>
    <xf numFmtId="0" fontId="5" fillId="0" borderId="17" xfId="0" applyFont="1" applyBorder="1"/>
    <xf numFmtId="0" fontId="1" fillId="0" borderId="11" xfId="0" applyFont="1" applyFill="1" applyBorder="1"/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164" fontId="8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right"/>
    </xf>
    <xf numFmtId="9" fontId="10" fillId="0" borderId="1" xfId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top"/>
    </xf>
    <xf numFmtId="9" fontId="10" fillId="0" borderId="0" xfId="1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1" fillId="0" borderId="0" xfId="0" applyFont="1" applyBorder="1"/>
    <xf numFmtId="0" fontId="0" fillId="0" borderId="0" xfId="0" applyBorder="1"/>
    <xf numFmtId="0" fontId="1" fillId="0" borderId="8" xfId="0" applyFont="1" applyBorder="1" applyAlignment="1">
      <alignment horizontal="right"/>
    </xf>
    <xf numFmtId="9" fontId="10" fillId="0" borderId="9" xfId="1" applyFont="1" applyBorder="1" applyAlignment="1">
      <alignment horizontal="left"/>
    </xf>
    <xf numFmtId="0" fontId="1" fillId="0" borderId="24" xfId="0" applyFont="1" applyBorder="1"/>
    <xf numFmtId="0" fontId="1" fillId="0" borderId="25" xfId="0" applyFont="1" applyBorder="1"/>
    <xf numFmtId="9" fontId="9" fillId="0" borderId="1" xfId="1" applyFont="1" applyFill="1" applyBorder="1"/>
    <xf numFmtId="0" fontId="0" fillId="0" borderId="1" xfId="0" applyFont="1" applyFill="1" applyBorder="1"/>
    <xf numFmtId="0" fontId="1" fillId="0" borderId="3" xfId="0" applyFont="1" applyFill="1" applyBorder="1"/>
    <xf numFmtId="0" fontId="1" fillId="0" borderId="1" xfId="0" applyFont="1" applyFill="1" applyBorder="1"/>
    <xf numFmtId="0" fontId="13" fillId="0" borderId="0" xfId="0" applyFont="1"/>
    <xf numFmtId="0" fontId="1" fillId="0" borderId="17" xfId="0" applyFont="1" applyBorder="1"/>
    <xf numFmtId="0" fontId="6" fillId="0" borderId="0" xfId="0" applyFont="1" applyAlignment="1">
      <alignment horizontal="left"/>
    </xf>
    <xf numFmtId="0" fontId="1" fillId="2" borderId="29" xfId="0" applyFont="1" applyFill="1" applyBorder="1" applyAlignment="1">
      <alignment vertical="center" wrapText="1"/>
    </xf>
    <xf numFmtId="0" fontId="0" fillId="0" borderId="30" xfId="0" applyFont="1" applyBorder="1"/>
    <xf numFmtId="0" fontId="0" fillId="0" borderId="32" xfId="0" applyFont="1" applyBorder="1"/>
    <xf numFmtId="0" fontId="0" fillId="0" borderId="33" xfId="0" applyFont="1" applyBorder="1"/>
    <xf numFmtId="0" fontId="0" fillId="0" borderId="29" xfId="0" applyFont="1" applyBorder="1"/>
    <xf numFmtId="9" fontId="9" fillId="0" borderId="17" xfId="1" applyFont="1" applyBorder="1"/>
    <xf numFmtId="0" fontId="0" fillId="0" borderId="35" xfId="0" applyFont="1" applyFill="1" applyBorder="1"/>
    <xf numFmtId="0" fontId="5" fillId="0" borderId="6" xfId="0" applyFont="1" applyBorder="1"/>
    <xf numFmtId="0" fontId="5" fillId="0" borderId="8" xfId="0" applyFont="1" applyBorder="1"/>
    <xf numFmtId="0" fontId="5" fillId="0" borderId="23" xfId="0" applyFont="1" applyBorder="1"/>
    <xf numFmtId="0" fontId="5" fillId="0" borderId="3" xfId="0" applyFont="1" applyFill="1" applyBorder="1"/>
    <xf numFmtId="0" fontId="1" fillId="0" borderId="12" xfId="0" applyFont="1" applyFill="1" applyBorder="1"/>
    <xf numFmtId="0" fontId="14" fillId="0" borderId="0" xfId="0" applyFont="1"/>
    <xf numFmtId="165" fontId="14" fillId="0" borderId="0" xfId="0" applyNumberFormat="1" applyFont="1"/>
    <xf numFmtId="165" fontId="0" fillId="0" borderId="0" xfId="0" applyNumberFormat="1"/>
    <xf numFmtId="0" fontId="0" fillId="0" borderId="0" xfId="0" applyFont="1" applyFill="1" applyBorder="1"/>
    <xf numFmtId="1" fontId="0" fillId="0" borderId="0" xfId="0" applyNumberFormat="1"/>
    <xf numFmtId="0" fontId="15" fillId="0" borderId="0" xfId="0" applyFont="1" applyAlignment="1"/>
    <xf numFmtId="0" fontId="1" fillId="0" borderId="35" xfId="0" applyFont="1" applyBorder="1"/>
    <xf numFmtId="0" fontId="0" fillId="0" borderId="35" xfId="0" applyFont="1" applyBorder="1" applyAlignment="1">
      <alignment horizontal="left"/>
    </xf>
    <xf numFmtId="9" fontId="9" fillId="0" borderId="35" xfId="1" applyFont="1" applyBorder="1" applyAlignment="1">
      <alignment horizontal="left"/>
    </xf>
    <xf numFmtId="0" fontId="0" fillId="0" borderId="35" xfId="0" applyFont="1" applyBorder="1"/>
    <xf numFmtId="165" fontId="0" fillId="0" borderId="1" xfId="0" applyNumberFormat="1" applyFont="1" applyBorder="1"/>
    <xf numFmtId="9" fontId="9" fillId="0" borderId="2" xfId="1" applyFont="1" applyBorder="1"/>
    <xf numFmtId="165" fontId="0" fillId="0" borderId="2" xfId="0" applyNumberFormat="1" applyFont="1" applyBorder="1"/>
    <xf numFmtId="0" fontId="5" fillId="0" borderId="3" xfId="0" applyFont="1" applyBorder="1"/>
    <xf numFmtId="9" fontId="9" fillId="0" borderId="4" xfId="1" applyFont="1" applyBorder="1"/>
    <xf numFmtId="165" fontId="0" fillId="0" borderId="4" xfId="0" applyNumberFormat="1" applyFont="1" applyBorder="1"/>
    <xf numFmtId="9" fontId="9" fillId="0" borderId="9" xfId="1" applyFont="1" applyBorder="1"/>
    <xf numFmtId="165" fontId="0" fillId="0" borderId="9" xfId="0" applyNumberFormat="1" applyFont="1" applyBorder="1"/>
    <xf numFmtId="0" fontId="5" fillId="0" borderId="18" xfId="0" applyFont="1" applyBorder="1"/>
    <xf numFmtId="164" fontId="16" fillId="0" borderId="0" xfId="2" applyNumberFormat="1" applyFont="1"/>
    <xf numFmtId="0" fontId="16" fillId="0" borderId="0" xfId="0" applyFont="1" applyAlignment="1">
      <alignment horizontal="left"/>
    </xf>
    <xf numFmtId="0" fontId="0" fillId="0" borderId="7" xfId="0" applyBorder="1"/>
    <xf numFmtId="165" fontId="0" fillId="0" borderId="17" xfId="0" applyNumberFormat="1" applyFont="1" applyBorder="1"/>
    <xf numFmtId="0" fontId="1" fillId="0" borderId="2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39" xfId="0" applyFont="1" applyBorder="1"/>
    <xf numFmtId="165" fontId="17" fillId="0" borderId="0" xfId="0" applyNumberFormat="1" applyFont="1"/>
    <xf numFmtId="165" fontId="12" fillId="0" borderId="0" xfId="0" applyNumberFormat="1" applyFont="1" applyAlignment="1"/>
    <xf numFmtId="0" fontId="1" fillId="2" borderId="36" xfId="0" applyFont="1" applyFill="1" applyBorder="1" applyAlignment="1">
      <alignment vertical="center" wrapText="1"/>
    </xf>
    <xf numFmtId="1" fontId="17" fillId="0" borderId="0" xfId="0" applyNumberFormat="1" applyFont="1"/>
    <xf numFmtId="1" fontId="1" fillId="2" borderId="16" xfId="0" applyNumberFormat="1" applyFont="1" applyFill="1" applyBorder="1" applyAlignment="1">
      <alignment vertical="center" wrapText="1"/>
    </xf>
    <xf numFmtId="0" fontId="0" fillId="0" borderId="13" xfId="0" applyFont="1" applyFill="1" applyBorder="1"/>
    <xf numFmtId="165" fontId="3" fillId="0" borderId="0" xfId="0" applyNumberFormat="1" applyFont="1"/>
    <xf numFmtId="0" fontId="20" fillId="0" borderId="0" xfId="0" applyFont="1"/>
    <xf numFmtId="0" fontId="19" fillId="0" borderId="0" xfId="0" applyFont="1"/>
    <xf numFmtId="0" fontId="18" fillId="0" borderId="0" xfId="0" applyFont="1"/>
    <xf numFmtId="0" fontId="0" fillId="0" borderId="19" xfId="0" applyBorder="1"/>
    <xf numFmtId="0" fontId="0" fillId="0" borderId="22" xfId="0" applyFont="1" applyFill="1" applyBorder="1"/>
    <xf numFmtId="165" fontId="0" fillId="0" borderId="21" xfId="0" applyNumberFormat="1" applyFont="1" applyFill="1" applyBorder="1"/>
    <xf numFmtId="165" fontId="0" fillId="0" borderId="12" xfId="0" applyNumberFormat="1" applyFont="1" applyFill="1" applyBorder="1"/>
    <xf numFmtId="0" fontId="0" fillId="7" borderId="1" xfId="0" applyFont="1" applyFill="1" applyBorder="1"/>
    <xf numFmtId="9" fontId="0" fillId="0" borderId="1" xfId="1" applyFont="1" applyBorder="1"/>
    <xf numFmtId="9" fontId="0" fillId="0" borderId="4" xfId="1" applyFont="1" applyBorder="1"/>
    <xf numFmtId="0" fontId="2" fillId="0" borderId="0" xfId="0" applyFont="1"/>
    <xf numFmtId="0" fontId="1" fillId="0" borderId="26" xfId="0" applyFont="1" applyBorder="1"/>
    <xf numFmtId="0" fontId="1" fillId="0" borderId="41" xfId="0" applyFont="1" applyBorder="1"/>
    <xf numFmtId="165" fontId="17" fillId="0" borderId="0" xfId="0" applyNumberFormat="1" applyFont="1" applyFill="1"/>
    <xf numFmtId="1" fontId="17" fillId="0" borderId="0" xfId="0" applyNumberFormat="1" applyFont="1" applyFill="1"/>
    <xf numFmtId="165" fontId="0" fillId="0" borderId="0" xfId="0" applyNumberFormat="1" applyFill="1"/>
    <xf numFmtId="1" fontId="0" fillId="0" borderId="0" xfId="0" applyNumberFormat="1" applyFill="1"/>
    <xf numFmtId="165" fontId="0" fillId="0" borderId="4" xfId="0" applyNumberFormat="1" applyFont="1" applyFill="1" applyBorder="1"/>
    <xf numFmtId="0" fontId="0" fillId="0" borderId="5" xfId="0" applyFont="1" applyFill="1" applyBorder="1"/>
    <xf numFmtId="165" fontId="0" fillId="0" borderId="1" xfId="0" applyNumberFormat="1" applyFont="1" applyFill="1" applyBorder="1"/>
    <xf numFmtId="0" fontId="0" fillId="0" borderId="7" xfId="0" applyFont="1" applyFill="1" applyBorder="1"/>
    <xf numFmtId="165" fontId="1" fillId="2" borderId="12" xfId="0" applyNumberFormat="1" applyFont="1" applyFill="1" applyBorder="1" applyAlignment="1">
      <alignment vertical="center" wrapText="1"/>
    </xf>
    <xf numFmtId="9" fontId="0" fillId="0" borderId="17" xfId="1" applyFont="1" applyBorder="1"/>
    <xf numFmtId="165" fontId="0" fillId="0" borderId="17" xfId="0" applyNumberFormat="1" applyFont="1" applyFill="1" applyBorder="1"/>
    <xf numFmtId="0" fontId="0" fillId="0" borderId="37" xfId="0" applyFont="1" applyFill="1" applyBorder="1"/>
    <xf numFmtId="0" fontId="1" fillId="0" borderId="42" xfId="0" applyFont="1" applyBorder="1"/>
    <xf numFmtId="1" fontId="1" fillId="2" borderId="13" xfId="0" applyNumberFormat="1" applyFont="1" applyFill="1" applyBorder="1" applyAlignment="1">
      <alignment vertical="center" wrapText="1"/>
    </xf>
    <xf numFmtId="0" fontId="1" fillId="0" borderId="9" xfId="0" applyFont="1" applyFill="1" applyBorder="1"/>
    <xf numFmtId="9" fontId="0" fillId="0" borderId="9" xfId="1" applyFont="1" applyBorder="1"/>
    <xf numFmtId="165" fontId="0" fillId="0" borderId="9" xfId="0" applyNumberFormat="1" applyFont="1" applyFill="1" applyBorder="1"/>
    <xf numFmtId="0" fontId="0" fillId="0" borderId="10" xfId="0" applyFont="1" applyFill="1" applyBorder="1"/>
    <xf numFmtId="9" fontId="0" fillId="0" borderId="12" xfId="1" applyFont="1" applyBorder="1"/>
    <xf numFmtId="0" fontId="0" fillId="0" borderId="34" xfId="0" applyFont="1" applyBorder="1"/>
    <xf numFmtId="0" fontId="1" fillId="0" borderId="45" xfId="0" applyFont="1" applyBorder="1"/>
    <xf numFmtId="9" fontId="0" fillId="0" borderId="2" xfId="1" applyFont="1" applyBorder="1"/>
    <xf numFmtId="165" fontId="0" fillId="0" borderId="2" xfId="0" applyNumberFormat="1" applyFont="1" applyFill="1" applyBorder="1"/>
    <xf numFmtId="0" fontId="0" fillId="0" borderId="19" xfId="0" applyFont="1" applyFill="1" applyBorder="1"/>
    <xf numFmtId="9" fontId="0" fillId="0" borderId="0" xfId="1" applyFont="1" applyBorder="1"/>
    <xf numFmtId="165" fontId="0" fillId="0" borderId="0" xfId="0" applyNumberFormat="1" applyFont="1" applyFill="1" applyBorder="1"/>
    <xf numFmtId="0" fontId="19" fillId="0" borderId="0" xfId="0" applyFont="1" applyBorder="1"/>
    <xf numFmtId="0" fontId="1" fillId="0" borderId="38" xfId="0" applyFont="1" applyFill="1" applyBorder="1"/>
    <xf numFmtId="9" fontId="0" fillId="0" borderId="21" xfId="1" applyFont="1" applyBorder="1"/>
    <xf numFmtId="0" fontId="5" fillId="0" borderId="1" xfId="0" applyFont="1" applyFill="1" applyBorder="1"/>
    <xf numFmtId="0" fontId="5" fillId="0" borderId="4" xfId="0" applyFont="1" applyFill="1" applyBorder="1"/>
    <xf numFmtId="0" fontId="0" fillId="0" borderId="4" xfId="0" applyFont="1" applyFill="1" applyBorder="1"/>
    <xf numFmtId="9" fontId="9" fillId="0" borderId="4" xfId="1" applyFont="1" applyFill="1" applyBorder="1"/>
    <xf numFmtId="0" fontId="5" fillId="0" borderId="6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0" fillId="0" borderId="9" xfId="0" applyFont="1" applyFill="1" applyBorder="1"/>
    <xf numFmtId="9" fontId="9" fillId="0" borderId="9" xfId="1" applyFont="1" applyFill="1" applyBorder="1"/>
    <xf numFmtId="0" fontId="0" fillId="0" borderId="0" xfId="0" applyBorder="1" applyAlignment="1">
      <alignment horizontal="left"/>
    </xf>
    <xf numFmtId="9" fontId="9" fillId="0" borderId="0" xfId="1" applyFont="1" applyBorder="1" applyAlignment="1">
      <alignment horizontal="left"/>
    </xf>
    <xf numFmtId="9" fontId="0" fillId="0" borderId="35" xfId="1" applyFont="1" applyBorder="1"/>
    <xf numFmtId="0" fontId="0" fillId="0" borderId="40" xfId="0" applyFont="1" applyFill="1" applyBorder="1"/>
    <xf numFmtId="0" fontId="1" fillId="0" borderId="20" xfId="0" applyFont="1" applyFill="1" applyBorder="1"/>
    <xf numFmtId="0" fontId="1" fillId="0" borderId="44" xfId="0" applyFont="1" applyBorder="1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23" xfId="0" applyFont="1" applyBorder="1"/>
    <xf numFmtId="0" fontId="1" fillId="0" borderId="4" xfId="0" applyFont="1" applyFill="1" applyBorder="1"/>
    <xf numFmtId="0" fontId="0" fillId="0" borderId="21" xfId="0" applyBorder="1"/>
    <xf numFmtId="9" fontId="9" fillId="0" borderId="21" xfId="1" applyFont="1" applyBorder="1"/>
    <xf numFmtId="0" fontId="0" fillId="0" borderId="22" xfId="0" applyBorder="1"/>
    <xf numFmtId="0" fontId="5" fillId="0" borderId="20" xfId="0" applyFont="1" applyBorder="1"/>
    <xf numFmtId="165" fontId="0" fillId="0" borderId="21" xfId="0" applyNumberFormat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9" fontId="10" fillId="0" borderId="7" xfId="1" applyFont="1" applyBorder="1" applyAlignment="1">
      <alignment horizontal="left"/>
    </xf>
    <xf numFmtId="0" fontId="0" fillId="0" borderId="8" xfId="0" applyFont="1" applyBorder="1" applyAlignment="1">
      <alignment horizontal="right"/>
    </xf>
    <xf numFmtId="9" fontId="10" fillId="0" borderId="10" xfId="1" applyFont="1" applyBorder="1" applyAlignment="1">
      <alignment horizontal="left"/>
    </xf>
    <xf numFmtId="0" fontId="1" fillId="2" borderId="6" xfId="0" applyFont="1" applyFill="1" applyBorder="1" applyAlignment="1">
      <alignment horizontal="right"/>
    </xf>
    <xf numFmtId="9" fontId="1" fillId="2" borderId="1" xfId="1" applyFont="1" applyFill="1" applyBorder="1" applyAlignment="1">
      <alignment horizontal="left"/>
    </xf>
    <xf numFmtId="0" fontId="0" fillId="2" borderId="7" xfId="0" applyFont="1" applyFill="1" applyBorder="1"/>
    <xf numFmtId="0" fontId="4" fillId="0" borderId="0" xfId="0" applyFont="1" applyFill="1" applyBorder="1"/>
    <xf numFmtId="0" fontId="0" fillId="2" borderId="1" xfId="0" applyFont="1" applyFill="1" applyBorder="1"/>
    <xf numFmtId="1" fontId="11" fillId="0" borderId="0" xfId="0" applyNumberFormat="1" applyFont="1" applyAlignment="1">
      <alignment horizontal="right" vertical="top"/>
    </xf>
    <xf numFmtId="0" fontId="21" fillId="0" borderId="0" xfId="0" applyFont="1" applyBorder="1"/>
    <xf numFmtId="0" fontId="22" fillId="0" borderId="0" xfId="0" applyFont="1" applyBorder="1"/>
    <xf numFmtId="0" fontId="4" fillId="0" borderId="0" xfId="0" applyFont="1" applyBorder="1" applyAlignment="1">
      <alignment horizontal="right"/>
    </xf>
    <xf numFmtId="165" fontId="1" fillId="0" borderId="1" xfId="0" applyNumberFormat="1" applyFont="1" applyBorder="1"/>
    <xf numFmtId="165" fontId="1" fillId="0" borderId="9" xfId="0" applyNumberFormat="1" applyFont="1" applyBorder="1"/>
    <xf numFmtId="165" fontId="1" fillId="0" borderId="9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right" vertical="top"/>
    </xf>
    <xf numFmtId="9" fontId="10" fillId="0" borderId="1" xfId="1" applyNumberFormat="1" applyFont="1" applyBorder="1" applyAlignment="1">
      <alignment horizontal="left"/>
    </xf>
    <xf numFmtId="165" fontId="1" fillId="0" borderId="0" xfId="0" applyNumberFormat="1" applyFont="1" applyBorder="1"/>
    <xf numFmtId="9" fontId="10" fillId="0" borderId="9" xfId="1" applyNumberFormat="1" applyFont="1" applyBorder="1" applyAlignment="1">
      <alignment horizontal="left"/>
    </xf>
    <xf numFmtId="1" fontId="1" fillId="0" borderId="1" xfId="0" applyNumberFormat="1" applyFont="1" applyBorder="1"/>
    <xf numFmtId="9" fontId="10" fillId="0" borderId="7" xfId="1" applyNumberFormat="1" applyFont="1" applyBorder="1" applyAlignment="1">
      <alignment horizontal="left"/>
    </xf>
    <xf numFmtId="1" fontId="1" fillId="0" borderId="9" xfId="0" applyNumberFormat="1" applyFont="1" applyBorder="1"/>
    <xf numFmtId="9" fontId="10" fillId="0" borderId="10" xfId="1" applyNumberFormat="1" applyFont="1" applyBorder="1" applyAlignment="1">
      <alignment horizontal="left"/>
    </xf>
    <xf numFmtId="3" fontId="1" fillId="0" borderId="1" xfId="0" applyNumberFormat="1" applyFont="1" applyBorder="1"/>
    <xf numFmtId="0" fontId="0" fillId="0" borderId="2" xfId="0" applyFont="1" applyBorder="1" applyAlignment="1">
      <alignment vertical="center"/>
    </xf>
    <xf numFmtId="0" fontId="1" fillId="4" borderId="6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right"/>
    </xf>
    <xf numFmtId="9" fontId="10" fillId="0" borderId="0" xfId="1" applyNumberFormat="1" applyFont="1" applyBorder="1" applyAlignment="1">
      <alignment horizontal="left"/>
    </xf>
    <xf numFmtId="1" fontId="1" fillId="0" borderId="0" xfId="0" applyNumberFormat="1" applyFont="1" applyBorder="1"/>
    <xf numFmtId="3" fontId="1" fillId="0" borderId="9" xfId="0" applyNumberFormat="1" applyFont="1" applyBorder="1"/>
    <xf numFmtId="0" fontId="0" fillId="0" borderId="46" xfId="0" applyFont="1" applyBorder="1"/>
    <xf numFmtId="165" fontId="0" fillId="0" borderId="1" xfId="0" applyNumberFormat="1" applyBorder="1"/>
    <xf numFmtId="165" fontId="0" fillId="0" borderId="4" xfId="0" applyNumberFormat="1" applyBorder="1"/>
    <xf numFmtId="165" fontId="0" fillId="0" borderId="9" xfId="0" applyNumberFormat="1" applyBorder="1"/>
    <xf numFmtId="165" fontId="0" fillId="0" borderId="2" xfId="0" applyNumberFormat="1" applyBorder="1"/>
    <xf numFmtId="165" fontId="0" fillId="0" borderId="17" xfId="0" applyNumberFormat="1" applyBorder="1"/>
    <xf numFmtId="165" fontId="0" fillId="0" borderId="35" xfId="0" applyNumberFormat="1" applyBorder="1"/>
    <xf numFmtId="0" fontId="1" fillId="0" borderId="38" xfId="0" applyFont="1" applyBorder="1"/>
    <xf numFmtId="9" fontId="9" fillId="0" borderId="35" xfId="1" applyNumberFormat="1" applyFont="1" applyBorder="1" applyAlignment="1">
      <alignment horizontal="left"/>
    </xf>
    <xf numFmtId="0" fontId="1" fillId="0" borderId="14" xfId="0" applyFont="1" applyFill="1" applyBorder="1"/>
    <xf numFmtId="0" fontId="1" fillId="0" borderId="23" xfId="0" applyFont="1" applyFill="1" applyBorder="1"/>
    <xf numFmtId="165" fontId="0" fillId="0" borderId="32" xfId="0" applyNumberFormat="1" applyBorder="1"/>
    <xf numFmtId="165" fontId="0" fillId="0" borderId="30" xfId="0" applyNumberFormat="1" applyBorder="1"/>
    <xf numFmtId="165" fontId="0" fillId="0" borderId="33" xfId="0" applyNumberFormat="1" applyBorder="1"/>
    <xf numFmtId="165" fontId="0" fillId="0" borderId="39" xfId="0" applyNumberFormat="1" applyBorder="1"/>
    <xf numFmtId="165" fontId="0" fillId="0" borderId="29" xfId="0" applyNumberFormat="1" applyBorder="1"/>
    <xf numFmtId="165" fontId="0" fillId="0" borderId="34" xfId="0" applyNumberFormat="1" applyBorder="1"/>
    <xf numFmtId="165" fontId="0" fillId="0" borderId="36" xfId="0" applyNumberFormat="1" applyBorder="1"/>
    <xf numFmtId="165" fontId="0" fillId="0" borderId="46" xfId="0" applyNumberFormat="1" applyBorder="1"/>
    <xf numFmtId="3" fontId="11" fillId="0" borderId="0" xfId="0" applyNumberFormat="1" applyFont="1" applyAlignment="1">
      <alignment horizontal="right" vertical="top"/>
    </xf>
    <xf numFmtId="3" fontId="11" fillId="0" borderId="0" xfId="0" applyNumberFormat="1" applyFont="1" applyBorder="1" applyAlignment="1">
      <alignment horizontal="right" vertical="top"/>
    </xf>
    <xf numFmtId="165" fontId="0" fillId="0" borderId="34" xfId="0" applyNumberFormat="1" applyFont="1" applyBorder="1"/>
    <xf numFmtId="0" fontId="0" fillId="0" borderId="2" xfId="0" applyBorder="1" applyAlignment="1">
      <alignment horizontal="left"/>
    </xf>
    <xf numFmtId="0" fontId="0" fillId="0" borderId="35" xfId="0" applyBorder="1" applyAlignment="1">
      <alignment horizontal="left"/>
    </xf>
    <xf numFmtId="165" fontId="0" fillId="0" borderId="36" xfId="0" applyNumberFormat="1" applyFont="1" applyBorder="1"/>
    <xf numFmtId="165" fontId="0" fillId="0" borderId="31" xfId="0" applyNumberFormat="1" applyFont="1" applyBorder="1"/>
    <xf numFmtId="165" fontId="0" fillId="0" borderId="29" xfId="0" applyNumberFormat="1" applyFont="1" applyBorder="1"/>
    <xf numFmtId="9" fontId="10" fillId="0" borderId="0" xfId="1" applyFont="1" applyFill="1" applyBorder="1" applyAlignment="1">
      <alignment horizontal="left"/>
    </xf>
    <xf numFmtId="0" fontId="5" fillId="0" borderId="11" xfId="0" applyFont="1" applyBorder="1"/>
    <xf numFmtId="0" fontId="1" fillId="0" borderId="9" xfId="0" applyFont="1" applyBorder="1" applyAlignment="1">
      <alignment horizontal="right"/>
    </xf>
    <xf numFmtId="9" fontId="9" fillId="0" borderId="1" xfId="1" applyNumberFormat="1" applyFont="1" applyBorder="1" applyAlignment="1">
      <alignment horizontal="left"/>
    </xf>
    <xf numFmtId="0" fontId="0" fillId="0" borderId="10" xfId="0" applyBorder="1"/>
    <xf numFmtId="0" fontId="0" fillId="0" borderId="13" xfId="0" applyBorder="1"/>
    <xf numFmtId="165" fontId="1" fillId="2" borderId="15" xfId="0" applyNumberFormat="1" applyFont="1" applyFill="1" applyBorder="1" applyAlignment="1">
      <alignment vertical="center" wrapText="1"/>
    </xf>
    <xf numFmtId="0" fontId="5" fillId="0" borderId="0" xfId="0" applyFont="1" applyBorder="1"/>
    <xf numFmtId="165" fontId="0" fillId="0" borderId="32" xfId="0" applyNumberFormat="1" applyFont="1" applyBorder="1"/>
    <xf numFmtId="165" fontId="0" fillId="0" borderId="30" xfId="0" applyNumberFormat="1" applyFont="1" applyBorder="1"/>
    <xf numFmtId="165" fontId="0" fillId="0" borderId="33" xfId="0" applyNumberFormat="1" applyFont="1" applyBorder="1"/>
    <xf numFmtId="0" fontId="0" fillId="0" borderId="16" xfId="0" applyBorder="1"/>
    <xf numFmtId="0" fontId="0" fillId="0" borderId="37" xfId="0" applyBorder="1"/>
    <xf numFmtId="1" fontId="0" fillId="0" borderId="10" xfId="0" applyNumberFormat="1" applyFont="1" applyBorder="1"/>
    <xf numFmtId="0" fontId="0" fillId="0" borderId="19" xfId="0" applyFill="1" applyBorder="1"/>
    <xf numFmtId="1" fontId="0" fillId="0" borderId="5" xfId="0" applyNumberFormat="1" applyBorder="1"/>
    <xf numFmtId="0" fontId="0" fillId="0" borderId="40" xfId="0" applyBorder="1"/>
    <xf numFmtId="165" fontId="0" fillId="0" borderId="12" xfId="0" applyNumberFormat="1" applyBorder="1"/>
    <xf numFmtId="165" fontId="0" fillId="0" borderId="15" xfId="0" applyNumberFormat="1" applyBorder="1"/>
    <xf numFmtId="0" fontId="1" fillId="2" borderId="1" xfId="0" applyFont="1" applyFill="1" applyBorder="1" applyAlignment="1">
      <alignment horizontal="left"/>
    </xf>
    <xf numFmtId="1" fontId="0" fillId="0" borderId="7" xfId="0" applyNumberFormat="1" applyFont="1" applyBorder="1"/>
    <xf numFmtId="0" fontId="5" fillId="0" borderId="2" xfId="0" applyFont="1" applyBorder="1"/>
    <xf numFmtId="1" fontId="0" fillId="0" borderId="37" xfId="0" applyNumberFormat="1" applyFont="1" applyBorder="1"/>
    <xf numFmtId="1" fontId="0" fillId="0" borderId="19" xfId="0" applyNumberFormat="1" applyFont="1" applyBorder="1"/>
    <xf numFmtId="165" fontId="11" fillId="0" borderId="0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9" fontId="10" fillId="0" borderId="1" xfId="1" applyFont="1" applyFill="1" applyBorder="1" applyAlignment="1">
      <alignment horizontal="left"/>
    </xf>
    <xf numFmtId="9" fontId="10" fillId="0" borderId="7" xfId="1" applyFont="1" applyFill="1" applyBorder="1" applyAlignment="1">
      <alignment horizontal="left"/>
    </xf>
    <xf numFmtId="9" fontId="10" fillId="0" borderId="9" xfId="1" applyFont="1" applyFill="1" applyBorder="1" applyAlignment="1">
      <alignment horizontal="left"/>
    </xf>
    <xf numFmtId="9" fontId="10" fillId="0" borderId="10" xfId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0" xfId="0" applyFont="1" applyBorder="1"/>
    <xf numFmtId="0" fontId="0" fillId="0" borderId="35" xfId="0" applyBorder="1"/>
    <xf numFmtId="9" fontId="9" fillId="0" borderId="35" xfId="1" applyFont="1" applyBorder="1"/>
    <xf numFmtId="0" fontId="1" fillId="0" borderId="2" xfId="0" applyFont="1" applyFill="1" applyBorder="1"/>
    <xf numFmtId="0" fontId="1" fillId="0" borderId="47" xfId="0" applyFont="1" applyBorder="1"/>
    <xf numFmtId="165" fontId="1" fillId="0" borderId="1" xfId="0" applyNumberFormat="1" applyFont="1" applyFill="1" applyBorder="1"/>
    <xf numFmtId="165" fontId="1" fillId="0" borderId="9" xfId="0" applyNumberFormat="1" applyFont="1" applyFill="1" applyBorder="1"/>
    <xf numFmtId="0" fontId="1" fillId="0" borderId="18" xfId="0" applyFont="1" applyBorder="1" applyAlignment="1">
      <alignment horizontal="right"/>
    </xf>
    <xf numFmtId="165" fontId="1" fillId="0" borderId="2" xfId="0" applyNumberFormat="1" applyFont="1" applyBorder="1"/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ill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66" fontId="14" fillId="0" borderId="0" xfId="0" applyNumberFormat="1" applyFont="1"/>
    <xf numFmtId="164" fontId="11" fillId="0" borderId="0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horizontal="left"/>
    </xf>
    <xf numFmtId="166" fontId="1" fillId="0" borderId="1" xfId="0" applyNumberFormat="1" applyFont="1" applyBorder="1"/>
    <xf numFmtId="166" fontId="1" fillId="0" borderId="9" xfId="0" applyNumberFormat="1" applyFont="1" applyBorder="1"/>
    <xf numFmtId="0" fontId="1" fillId="3" borderId="6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right" vertical="center"/>
    </xf>
    <xf numFmtId="0" fontId="1" fillId="8" borderId="6" xfId="0" applyFont="1" applyFill="1" applyBorder="1" applyAlignment="1">
      <alignment horizontal="right"/>
    </xf>
    <xf numFmtId="0" fontId="1" fillId="8" borderId="8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7" xfId="0" applyFont="1" applyFill="1" applyBorder="1"/>
    <xf numFmtId="0" fontId="1" fillId="2" borderId="1" xfId="0" applyFont="1" applyFill="1" applyBorder="1" applyAlignment="1">
      <alignment horizontal="left"/>
    </xf>
    <xf numFmtId="0" fontId="1" fillId="8" borderId="44" xfId="0" applyFont="1" applyFill="1" applyBorder="1"/>
    <xf numFmtId="0" fontId="0" fillId="0" borderId="21" xfId="0" applyFont="1" applyBorder="1" applyAlignment="1">
      <alignment horizontal="left"/>
    </xf>
    <xf numFmtId="9" fontId="9" fillId="0" borderId="21" xfId="1" applyFont="1" applyBorder="1" applyAlignment="1">
      <alignment horizontal="left"/>
    </xf>
    <xf numFmtId="9" fontId="0" fillId="0" borderId="15" xfId="1" applyFont="1" applyBorder="1"/>
    <xf numFmtId="165" fontId="0" fillId="0" borderId="15" xfId="0" applyNumberFormat="1" applyFont="1" applyFill="1" applyBorder="1"/>
    <xf numFmtId="0" fontId="0" fillId="0" borderId="16" xfId="0" applyFont="1" applyFill="1" applyBorder="1"/>
    <xf numFmtId="165" fontId="1" fillId="2" borderId="36" xfId="0" applyNumberFormat="1" applyFont="1" applyFill="1" applyBorder="1" applyAlignment="1">
      <alignment vertical="center" wrapText="1"/>
    </xf>
    <xf numFmtId="0" fontId="1" fillId="0" borderId="6" xfId="0" applyFont="1" applyFill="1" applyBorder="1"/>
    <xf numFmtId="9" fontId="9" fillId="0" borderId="21" xfId="1" applyNumberFormat="1" applyFont="1" applyBorder="1" applyAlignment="1">
      <alignment horizontal="left"/>
    </xf>
    <xf numFmtId="0" fontId="0" fillId="0" borderId="12" xfId="0" applyFont="1" applyFill="1" applyBorder="1"/>
    <xf numFmtId="0" fontId="0" fillId="0" borderId="12" xfId="0" applyBorder="1"/>
    <xf numFmtId="9" fontId="9" fillId="0" borderId="12" xfId="1" applyFont="1" applyBorder="1"/>
    <xf numFmtId="0" fontId="1" fillId="0" borderId="38" xfId="0" applyFont="1" applyFill="1" applyBorder="1" applyAlignment="1">
      <alignment horizontal="right"/>
    </xf>
    <xf numFmtId="0" fontId="1" fillId="0" borderId="41" xfId="0" applyFont="1" applyBorder="1" applyAlignment="1">
      <alignment horizontal="right"/>
    </xf>
    <xf numFmtId="167" fontId="1" fillId="0" borderId="0" xfId="1" applyNumberFormat="1" applyFont="1" applyBorder="1"/>
    <xf numFmtId="0" fontId="1" fillId="0" borderId="0" xfId="0" applyFont="1" applyAlignment="1">
      <alignment wrapText="1"/>
    </xf>
    <xf numFmtId="9" fontId="0" fillId="0" borderId="0" xfId="1" applyFont="1" applyBorder="1" applyAlignment="1">
      <alignment horizontal="left"/>
    </xf>
    <xf numFmtId="0" fontId="24" fillId="0" borderId="23" xfId="0" applyFont="1" applyBorder="1"/>
    <xf numFmtId="0" fontId="24" fillId="0" borderId="6" xfId="0" applyFont="1" applyBorder="1"/>
    <xf numFmtId="0" fontId="0" fillId="0" borderId="32" xfId="0" applyFont="1" applyFill="1" applyBorder="1"/>
    <xf numFmtId="0" fontId="0" fillId="0" borderId="30" xfId="0" applyFont="1" applyFill="1" applyBorder="1"/>
    <xf numFmtId="0" fontId="0" fillId="0" borderId="33" xfId="0" applyFont="1" applyFill="1" applyBorder="1"/>
    <xf numFmtId="0" fontId="0" fillId="0" borderId="39" xfId="0" applyFont="1" applyFill="1" applyBorder="1"/>
    <xf numFmtId="0" fontId="0" fillId="0" borderId="29" xfId="0" applyFont="1" applyFill="1" applyBorder="1"/>
    <xf numFmtId="0" fontId="0" fillId="0" borderId="34" xfId="0" applyFont="1" applyFill="1" applyBorder="1"/>
    <xf numFmtId="0" fontId="0" fillId="0" borderId="36" xfId="0" applyFont="1" applyFill="1" applyBorder="1"/>
    <xf numFmtId="0" fontId="0" fillId="0" borderId="2" xfId="0" applyFont="1" applyFill="1" applyBorder="1"/>
    <xf numFmtId="0" fontId="0" fillId="0" borderId="46" xfId="0" applyFont="1" applyFill="1" applyBorder="1"/>
    <xf numFmtId="0" fontId="0" fillId="0" borderId="21" xfId="0" applyFont="1" applyFill="1" applyBorder="1"/>
    <xf numFmtId="0" fontId="5" fillId="0" borderId="23" xfId="0" applyFont="1" applyFill="1" applyBorder="1"/>
    <xf numFmtId="0" fontId="5" fillId="0" borderId="17" xfId="0" applyFont="1" applyFill="1" applyBorder="1"/>
    <xf numFmtId="0" fontId="1" fillId="0" borderId="8" xfId="0" applyFont="1" applyFill="1" applyBorder="1" applyAlignment="1">
      <alignment horizontal="right"/>
    </xf>
    <xf numFmtId="0" fontId="0" fillId="0" borderId="15" xfId="0" applyFont="1" applyFill="1" applyBorder="1"/>
    <xf numFmtId="0" fontId="19" fillId="0" borderId="0" xfId="0" applyFont="1" applyFill="1"/>
    <xf numFmtId="168" fontId="23" fillId="0" borderId="0" xfId="2" applyNumberFormat="1" applyFont="1" applyFill="1" applyBorder="1" applyAlignment="1">
      <alignment horizontal="center"/>
    </xf>
    <xf numFmtId="0" fontId="1" fillId="0" borderId="17" xfId="0" applyFont="1" applyFill="1" applyBorder="1"/>
    <xf numFmtId="9" fontId="9" fillId="0" borderId="17" xfId="1" applyFont="1" applyFill="1" applyBorder="1"/>
    <xf numFmtId="0" fontId="1" fillId="0" borderId="18" xfId="0" applyFont="1" applyFill="1" applyBorder="1"/>
    <xf numFmtId="9" fontId="9" fillId="0" borderId="2" xfId="1" applyFont="1" applyFill="1" applyBorder="1"/>
    <xf numFmtId="0" fontId="1" fillId="0" borderId="35" xfId="0" applyFont="1" applyFill="1" applyBorder="1"/>
    <xf numFmtId="9" fontId="9" fillId="0" borderId="35" xfId="1" applyFont="1" applyFill="1" applyBorder="1"/>
    <xf numFmtId="165" fontId="0" fillId="0" borderId="35" xfId="0" applyNumberFormat="1" applyFont="1" applyFill="1" applyBorder="1"/>
    <xf numFmtId="0" fontId="1" fillId="0" borderId="3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2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21" xfId="0" applyFont="1" applyFill="1" applyBorder="1"/>
    <xf numFmtId="9" fontId="9" fillId="0" borderId="21" xfId="1" applyFont="1" applyFill="1" applyBorder="1"/>
    <xf numFmtId="9" fontId="9" fillId="0" borderId="12" xfId="1" applyFont="1" applyFill="1" applyBorder="1"/>
    <xf numFmtId="9" fontId="9" fillId="0" borderId="15" xfId="1" applyFont="1" applyFill="1" applyBorder="1"/>
    <xf numFmtId="0" fontId="1" fillId="0" borderId="15" xfId="0" applyFont="1" applyFill="1" applyBorder="1"/>
    <xf numFmtId="0" fontId="5" fillId="0" borderId="26" xfId="0" applyFont="1" applyFill="1" applyBorder="1"/>
    <xf numFmtId="0" fontId="5" fillId="0" borderId="41" xfId="0" applyFont="1" applyFill="1" applyBorder="1"/>
    <xf numFmtId="0" fontId="5" fillId="0" borderId="43" xfId="0" applyFont="1" applyFill="1" applyBorder="1"/>
    <xf numFmtId="0" fontId="5" fillId="0" borderId="6" xfId="0" applyFont="1" applyFill="1" applyBorder="1" applyAlignment="1">
      <alignment horizontal="right"/>
    </xf>
    <xf numFmtId="0" fontId="5" fillId="0" borderId="18" xfId="0" applyFont="1" applyFill="1" applyBorder="1"/>
    <xf numFmtId="0" fontId="5" fillId="0" borderId="18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26" xfId="0" applyFont="1" applyBorder="1"/>
    <xf numFmtId="0" fontId="5" fillId="0" borderId="45" xfId="0" applyFont="1" applyBorder="1"/>
    <xf numFmtId="165" fontId="0" fillId="0" borderId="4" xfId="0" applyNumberFormat="1" applyFill="1" applyBorder="1" applyAlignment="1">
      <alignment vertical="center"/>
    </xf>
    <xf numFmtId="165" fontId="0" fillId="0" borderId="5" xfId="0" applyNumberFormat="1" applyFill="1" applyBorder="1" applyAlignment="1">
      <alignment vertical="center"/>
    </xf>
    <xf numFmtId="165" fontId="0" fillId="0" borderId="1" xfId="0" applyNumberFormat="1" applyFill="1" applyBorder="1" applyAlignment="1">
      <alignment vertical="center"/>
    </xf>
    <xf numFmtId="165" fontId="0" fillId="0" borderId="7" xfId="0" applyNumberFormat="1" applyFill="1" applyBorder="1" applyAlignment="1">
      <alignment vertical="center"/>
    </xf>
    <xf numFmtId="165" fontId="0" fillId="0" borderId="9" xfId="0" applyNumberFormat="1" applyFill="1" applyBorder="1" applyAlignment="1">
      <alignment vertical="center"/>
    </xf>
    <xf numFmtId="165" fontId="0" fillId="0" borderId="10" xfId="0" applyNumberFormat="1" applyFill="1" applyBorder="1" applyAlignment="1">
      <alignment vertical="center"/>
    </xf>
    <xf numFmtId="165" fontId="0" fillId="0" borderId="2" xfId="0" applyNumberFormat="1" applyFill="1" applyBorder="1" applyAlignment="1">
      <alignment vertical="center"/>
    </xf>
    <xf numFmtId="165" fontId="0" fillId="0" borderId="19" xfId="0" applyNumberFormat="1" applyFill="1" applyBorder="1" applyAlignment="1">
      <alignment vertical="center"/>
    </xf>
    <xf numFmtId="165" fontId="0" fillId="0" borderId="17" xfId="0" applyNumberFormat="1" applyFill="1" applyBorder="1" applyAlignment="1">
      <alignment vertical="center"/>
    </xf>
    <xf numFmtId="165" fontId="0" fillId="0" borderId="37" xfId="0" applyNumberFormat="1" applyFill="1" applyBorder="1" applyAlignment="1">
      <alignment vertical="center"/>
    </xf>
    <xf numFmtId="165" fontId="0" fillId="0" borderId="12" xfId="0" applyNumberFormat="1" applyFill="1" applyBorder="1" applyAlignment="1">
      <alignment vertical="center"/>
    </xf>
    <xf numFmtId="165" fontId="0" fillId="0" borderId="13" xfId="0" applyNumberFormat="1" applyFill="1" applyBorder="1" applyAlignment="1">
      <alignment vertical="center"/>
    </xf>
    <xf numFmtId="165" fontId="0" fillId="0" borderId="35" xfId="0" applyNumberFormat="1" applyFill="1" applyBorder="1" applyAlignment="1">
      <alignment vertical="center"/>
    </xf>
    <xf numFmtId="165" fontId="0" fillId="0" borderId="40" xfId="0" applyNumberFormat="1" applyFill="1" applyBorder="1" applyAlignment="1">
      <alignment vertical="center"/>
    </xf>
    <xf numFmtId="0" fontId="1" fillId="0" borderId="6" xfId="0" applyFont="1" applyFill="1" applyBorder="1" applyAlignment="1">
      <alignment horizontal="left"/>
    </xf>
    <xf numFmtId="0" fontId="5" fillId="0" borderId="14" xfId="0" applyFont="1" applyFill="1" applyBorder="1"/>
    <xf numFmtId="0" fontId="5" fillId="0" borderId="11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0" fontId="1" fillId="2" borderId="12" xfId="0" applyFont="1" applyFill="1" applyBorder="1" applyAlignment="1">
      <alignment horizontal="center" vertical="center" wrapText="1"/>
    </xf>
    <xf numFmtId="164" fontId="16" fillId="0" borderId="0" xfId="2" applyNumberFormat="1" applyFont="1" applyAlignment="1">
      <alignment horizontal="center"/>
    </xf>
    <xf numFmtId="0" fontId="0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CBCBF"/>
      <color rgb="FFDDABFF"/>
      <color rgb="FFD3F2C9"/>
      <color rgb="FFE2FFA8"/>
      <color rgb="FFFFDAF2"/>
      <color rgb="FF9AE8DE"/>
      <color rgb="FFFF9DD3"/>
      <color rgb="FFF94C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TYPE OF WASTE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A2-634B-920D-A1956C757B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A2-634B-920D-A1956C757B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A2-634B-920D-A1956C757B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A2-634B-920D-A1956C757B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8A2-634B-920D-A1956C757B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8A2-634B-920D-A1956C757B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8A2-634B-920D-A1956C757B2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8A2-634B-920D-A1956C757B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OVERALL!$A$26:$A$33</c:f>
              <c:strCache>
                <c:ptCount val="8"/>
                <c:pt idx="0">
                  <c:v>PET bottles</c:v>
                </c:pt>
                <c:pt idx="1">
                  <c:v>Plastic bags and wrapping</c:v>
                </c:pt>
                <c:pt idx="2">
                  <c:v>Glass bottles</c:v>
                </c:pt>
                <c:pt idx="3">
                  <c:v>Aluminum cans</c:v>
                </c:pt>
                <c:pt idx="4">
                  <c:v>Non-PET containers and items</c:v>
                </c:pt>
                <c:pt idx="5">
                  <c:v>Tetra Paks</c:v>
                </c:pt>
                <c:pt idx="6">
                  <c:v>Glass jars</c:v>
                </c:pt>
                <c:pt idx="7">
                  <c:v>Steel cans</c:v>
                </c:pt>
              </c:strCache>
            </c:strRef>
          </c:cat>
          <c:val>
            <c:numRef>
              <c:f>OVERALL!$D$26:$D$33</c:f>
              <c:numCache>
                <c:formatCode>0</c:formatCode>
                <c:ptCount val="8"/>
                <c:pt idx="0">
                  <c:v>266.95999999999998</c:v>
                </c:pt>
                <c:pt idx="1">
                  <c:v>173.8179999999999</c:v>
                </c:pt>
                <c:pt idx="2">
                  <c:v>1386.9990000000005</c:v>
                </c:pt>
                <c:pt idx="3">
                  <c:v>22.14</c:v>
                </c:pt>
                <c:pt idx="4">
                  <c:v>53.939999999999969</c:v>
                </c:pt>
                <c:pt idx="5">
                  <c:v>34.880000000000003</c:v>
                </c:pt>
                <c:pt idx="6">
                  <c:v>182.63</c:v>
                </c:pt>
                <c:pt idx="7">
                  <c:v>18.134999999999998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8A2-634B-920D-A1956C757B2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MAIN CATEGORY OF PRODUCT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97-5A4C-A5C0-57E5BDFDD2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97-5A4C-A5C0-57E5BDFDD2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97-5A4C-A5C0-57E5BDFDD2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97-5A4C-A5C0-57E5BDFDD2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97-5A4C-A5C0-57E5BDFDD2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OVERALL!$A$75:$A$79</c:f>
              <c:strCache>
                <c:ptCount val="5"/>
                <c:pt idx="0">
                  <c:v>Drink packaging</c:v>
                </c:pt>
                <c:pt idx="1">
                  <c:v>Food packaging</c:v>
                </c:pt>
                <c:pt idx="2">
                  <c:v>Other (non-food/drink) packaging</c:v>
                </c:pt>
                <c:pt idx="3">
                  <c:v>Other plastic bags and wrapping</c:v>
                </c:pt>
                <c:pt idx="4">
                  <c:v>Plastic items</c:v>
                </c:pt>
              </c:strCache>
            </c:strRef>
          </c:cat>
          <c:val>
            <c:numRef>
              <c:f>OVERALL!$D$75:$D$79</c:f>
              <c:numCache>
                <c:formatCode>#,##0</c:formatCode>
                <c:ptCount val="5"/>
                <c:pt idx="0">
                  <c:v>1682.8555000000006</c:v>
                </c:pt>
                <c:pt idx="1">
                  <c:v>302.86249999999995</c:v>
                </c:pt>
                <c:pt idx="2">
                  <c:v>52.124499999999998</c:v>
                </c:pt>
                <c:pt idx="3">
                  <c:v>92.859499999999997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97-5A4C-A5C0-57E5BDFDD25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307232699808623"/>
          <c:y val="0.29187270730624543"/>
          <c:w val="0.33561511933101384"/>
          <c:h val="0.59412509638075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TETRA PAKS BY PROCESSING CHANNEL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40-2D40-B7F1-D2D253115F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TetraPak!$A$99</c:f>
              <c:strCache>
                <c:ptCount val="1"/>
                <c:pt idx="0">
                  <c:v>Landfill</c:v>
                </c:pt>
              </c:strCache>
            </c:strRef>
          </c:cat>
          <c:val>
            <c:numRef>
              <c:f>TetraPak!$B$99</c:f>
              <c:numCache>
                <c:formatCode>General</c:formatCode>
                <c:ptCount val="1"/>
                <c:pt idx="0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40-2D40-B7F1-D2D253115F8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ORIGIN OF PRODUCT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F8-E648-A7B5-F654957243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F8-E648-A7B5-F654957243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F8-E648-A7B5-F654957243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OVERALL!$A$129:$A$131</c:f>
              <c:strCache>
                <c:ptCount val="3"/>
                <c:pt idx="0">
                  <c:v>Mongolia</c:v>
                </c:pt>
                <c:pt idx="1">
                  <c:v>Imported</c:v>
                </c:pt>
                <c:pt idx="2">
                  <c:v>Unidentified</c:v>
                </c:pt>
              </c:strCache>
            </c:strRef>
          </c:cat>
          <c:val>
            <c:numRef>
              <c:f>OVERALL!$B$129:$B$131</c:f>
              <c:numCache>
                <c:formatCode>#,##0</c:formatCode>
                <c:ptCount val="3"/>
                <c:pt idx="0">
                  <c:v>11626</c:v>
                </c:pt>
                <c:pt idx="1">
                  <c:v>4958</c:v>
                </c:pt>
                <c:pt idx="2">
                  <c:v>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F8-E648-A7B5-F6549572430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407418228565582"/>
          <c:y val="0.33341573401247687"/>
          <c:w val="0.18719208800198672"/>
          <c:h val="0.300356550386691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ORIGIN OF PRODUCT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B2-0448-ACD8-F5959A86FB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B2-0448-ACD8-F5959A86FB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B2-0448-ACD8-F5959A86FB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OVERALL!$A$129:$A$131</c:f>
              <c:strCache>
                <c:ptCount val="3"/>
                <c:pt idx="0">
                  <c:v>Mongolia</c:v>
                </c:pt>
                <c:pt idx="1">
                  <c:v>Imported</c:v>
                </c:pt>
                <c:pt idx="2">
                  <c:v>Unidentified</c:v>
                </c:pt>
              </c:strCache>
            </c:strRef>
          </c:cat>
          <c:val>
            <c:numRef>
              <c:f>OVERALL!$D$129:$D$131</c:f>
              <c:numCache>
                <c:formatCode>0.0</c:formatCode>
                <c:ptCount val="3"/>
                <c:pt idx="0">
                  <c:v>1590.4145000000008</c:v>
                </c:pt>
                <c:pt idx="1">
                  <c:v>443.69749999999999</c:v>
                </c:pt>
                <c:pt idx="2">
                  <c:v>105.38999999999999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B2-0448-ACD8-F5959A86FB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407418228565582"/>
          <c:y val="0.33341573401247687"/>
          <c:w val="0.18719208800198672"/>
          <c:h val="0.300356550386691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WM PROCESS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95-DF4B-B0EF-9E086DA0CF6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95-DF4B-B0EF-9E086DA0CF6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95-DF4B-B0EF-9E086DA0CF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OVERALL!$A$150:$A$152</c:f>
              <c:strCache>
                <c:ptCount val="3"/>
                <c:pt idx="0">
                  <c:v>Reusing </c:v>
                </c:pt>
                <c:pt idx="1">
                  <c:v>Downcycling</c:v>
                </c:pt>
                <c:pt idx="2">
                  <c:v>Landfill</c:v>
                </c:pt>
              </c:strCache>
            </c:strRef>
          </c:cat>
          <c:val>
            <c:numRef>
              <c:f>OVERALL!$B$150:$B$152</c:f>
              <c:numCache>
                <c:formatCode>#,##0</c:formatCode>
                <c:ptCount val="3"/>
                <c:pt idx="0">
                  <c:v>2306</c:v>
                </c:pt>
                <c:pt idx="1">
                  <c:v>15832</c:v>
                </c:pt>
                <c:pt idx="2">
                  <c:v>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95-DF4B-B0EF-9E086DA0CF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407418228565582"/>
          <c:y val="0.33341573401247687"/>
          <c:w val="0.18719208800198672"/>
          <c:h val="0.300356550386691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WM PROCESS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B8-974B-BF95-F0B481FBF91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B8-974B-BF95-F0B481FBF91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B8-974B-BF95-F0B481FBF9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OVERALL!$A$150:$A$152</c:f>
              <c:strCache>
                <c:ptCount val="3"/>
                <c:pt idx="0">
                  <c:v>Reusing </c:v>
                </c:pt>
                <c:pt idx="1">
                  <c:v>Downcycling</c:v>
                </c:pt>
                <c:pt idx="2">
                  <c:v>Landfill</c:v>
                </c:pt>
              </c:strCache>
            </c:strRef>
          </c:cat>
          <c:val>
            <c:numRef>
              <c:f>OVERALL!$D$150:$D$152</c:f>
              <c:numCache>
                <c:formatCode>#,##0</c:formatCode>
                <c:ptCount val="3"/>
                <c:pt idx="0">
                  <c:v>1117.9400000000003</c:v>
                </c:pt>
                <c:pt idx="1">
                  <c:v>941.44249999999977</c:v>
                </c:pt>
                <c:pt idx="2">
                  <c:v>80.119499999999988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B8-974B-BF95-F0B481FBF9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407418228565582"/>
          <c:y val="0.33341573401247687"/>
          <c:w val="0.18719208800198672"/>
          <c:h val="0.300356550386691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sz="1400" b="1" i="0" u="none" strike="noStrike" baseline="0"/>
              <a:t> </a:t>
            </a:r>
            <a:r>
              <a:rPr lang="en-US" b="1"/>
              <a:t>OF GLASS BOTTLES BY TYPE OF PRODUCT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4B-A74C-A4BA-A2EAB123EA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4B-A74C-A4BA-A2EAB123EA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CA-704C-B008-BA24623823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CA-704C-B008-BA24623823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CA-704C-B008-BA24623823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ACA-704C-B008-BA24623823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ACA-704C-B008-BA24623823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ACA-704C-B008-BA246238230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ACA-704C-B008-BA2462382306}"/>
              </c:ext>
            </c:extLst>
          </c:dPt>
          <c:dPt>
            <c:idx val="9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463-2F42-BCD8-1F28F16CDAF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463-2F42-BCD8-1F28F16CDAF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463-2F42-BCD8-1F28F16CDA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bot.'!$A$110:$A$121</c:f>
              <c:strCache>
                <c:ptCount val="12"/>
                <c:pt idx="0">
                  <c:v>Vodka</c:v>
                </c:pt>
                <c:pt idx="1">
                  <c:v>Beer</c:v>
                </c:pt>
                <c:pt idx="2">
                  <c:v>Soda</c:v>
                </c:pt>
                <c:pt idx="3">
                  <c:v>Wine</c:v>
                </c:pt>
                <c:pt idx="4">
                  <c:v>Other liquor</c:v>
                </c:pt>
                <c:pt idx="5">
                  <c:v>Juice</c:v>
                </c:pt>
                <c:pt idx="6">
                  <c:v>Vegetal oil</c:v>
                </c:pt>
                <c:pt idx="7">
                  <c:v>Health and body care</c:v>
                </c:pt>
                <c:pt idx="8">
                  <c:v>Other food</c:v>
                </c:pt>
                <c:pt idx="9">
                  <c:v>Dairy</c:v>
                </c:pt>
                <c:pt idx="10">
                  <c:v>Other goods</c:v>
                </c:pt>
                <c:pt idx="11">
                  <c:v>Water</c:v>
                </c:pt>
              </c:strCache>
            </c:strRef>
          </c:cat>
          <c:val>
            <c:numRef>
              <c:f>'Glass bot.'!$B$110:$B$121</c:f>
              <c:numCache>
                <c:formatCode>General</c:formatCode>
                <c:ptCount val="12"/>
                <c:pt idx="0">
                  <c:v>2145</c:v>
                </c:pt>
                <c:pt idx="1">
                  <c:v>276</c:v>
                </c:pt>
                <c:pt idx="2">
                  <c:v>351</c:v>
                </c:pt>
                <c:pt idx="3">
                  <c:v>138</c:v>
                </c:pt>
                <c:pt idx="4">
                  <c:v>60</c:v>
                </c:pt>
                <c:pt idx="5">
                  <c:v>38</c:v>
                </c:pt>
                <c:pt idx="6">
                  <c:v>27</c:v>
                </c:pt>
                <c:pt idx="7">
                  <c:v>32</c:v>
                </c:pt>
                <c:pt idx="8">
                  <c:v>14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54B-A74C-A4BA-A2EAB123EA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329852671263468"/>
          <c:y val="0.11582610997154767"/>
          <c:w val="0.31371451130181716"/>
          <c:h val="0.87398541848935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GLASS BOTTLES BY ORIGIN OF PRODUCTION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AE-C346-BD17-9BC18D8E6D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AE-C346-BD17-9BC18D8E6D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bot.'!$A$129:$A$130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'Glass bot.'!$B$129:$B$130</c:f>
              <c:numCache>
                <c:formatCode>General</c:formatCode>
                <c:ptCount val="2"/>
                <c:pt idx="0">
                  <c:v>2394</c:v>
                </c:pt>
                <c:pt idx="1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E-C346-BD17-9BC18D8E6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GLASS BOTTLES BY WM PROCESS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79-4A4C-8717-B0115971F3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B-4443-BA7D-A95B4ABCAC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bot.'!$A$147:$A$148</c:f>
              <c:strCache>
                <c:ptCount val="2"/>
                <c:pt idx="0">
                  <c:v>Reusing </c:v>
                </c:pt>
                <c:pt idx="1">
                  <c:v>Downcycling</c:v>
                </c:pt>
              </c:strCache>
            </c:strRef>
          </c:cat>
          <c:val>
            <c:numRef>
              <c:f>'Glass bot.'!$B$147:$B$148</c:f>
              <c:numCache>
                <c:formatCode>General</c:formatCode>
                <c:ptCount val="2"/>
                <c:pt idx="0">
                  <c:v>2079</c:v>
                </c:pt>
                <c:pt idx="1">
                  <c:v>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79-4A4C-8717-B0115971F3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BOTTLES BY TYPE OF PRODUCT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1-9B48-861C-B71E3A7EBE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1-9B48-861C-B71E3A7EBE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B1-9B48-861C-B71E3A7EBE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AB1-9B48-861C-B71E3A7EBE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AB1-9B48-861C-B71E3A7EBEC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AB1-9B48-861C-B71E3A7EBEC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AB1-9B48-861C-B71E3A7EBEC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B1-9B48-861C-B71E3A7EBEC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B1-9B48-861C-B71E3A7EBEC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B1-9B48-861C-B71E3A7EBEC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AB1-9B48-861C-B71E3A7EBEC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AB1-9B48-861C-B71E3A7EB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bot.'!$A$110:$A$121</c:f>
              <c:strCache>
                <c:ptCount val="12"/>
                <c:pt idx="0">
                  <c:v>Vodka</c:v>
                </c:pt>
                <c:pt idx="1">
                  <c:v>Beer</c:v>
                </c:pt>
                <c:pt idx="2">
                  <c:v>Soda</c:v>
                </c:pt>
                <c:pt idx="3">
                  <c:v>Wine</c:v>
                </c:pt>
                <c:pt idx="4">
                  <c:v>Other liquor</c:v>
                </c:pt>
                <c:pt idx="5">
                  <c:v>Juice</c:v>
                </c:pt>
                <c:pt idx="6">
                  <c:v>Vegetal oil</c:v>
                </c:pt>
                <c:pt idx="7">
                  <c:v>Health and body care</c:v>
                </c:pt>
                <c:pt idx="8">
                  <c:v>Other food</c:v>
                </c:pt>
                <c:pt idx="9">
                  <c:v>Dairy</c:v>
                </c:pt>
                <c:pt idx="10">
                  <c:v>Other goods</c:v>
                </c:pt>
                <c:pt idx="11">
                  <c:v>Water</c:v>
                </c:pt>
              </c:strCache>
            </c:strRef>
          </c:cat>
          <c:val>
            <c:numRef>
              <c:f>'Glass bot.'!$D$110:$D$121</c:f>
              <c:numCache>
                <c:formatCode>0.0</c:formatCode>
                <c:ptCount val="12"/>
                <c:pt idx="0" formatCode="0">
                  <c:v>1109.3800000000006</c:v>
                </c:pt>
                <c:pt idx="1">
                  <c:v>100.45000000000002</c:v>
                </c:pt>
                <c:pt idx="2">
                  <c:v>47.959000000000003</c:v>
                </c:pt>
                <c:pt idx="3">
                  <c:v>67.62</c:v>
                </c:pt>
                <c:pt idx="4">
                  <c:v>30</c:v>
                </c:pt>
                <c:pt idx="5">
                  <c:v>10.64</c:v>
                </c:pt>
                <c:pt idx="6">
                  <c:v>8.4499999999999993</c:v>
                </c:pt>
                <c:pt idx="7">
                  <c:v>4.3</c:v>
                </c:pt>
                <c:pt idx="8">
                  <c:v>2.8</c:v>
                </c:pt>
                <c:pt idx="9">
                  <c:v>1.1499999999999999</c:v>
                </c:pt>
                <c:pt idx="10">
                  <c:v>1.4</c:v>
                </c:pt>
                <c:pt idx="11">
                  <c:v>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AB1-9B48-861C-B71E3A7EBE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BOTTLES BY ORIGIN OR PRODUCTION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FA-154F-A99A-30D12614A6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FA-154F-A99A-30D12614A6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bot.'!$A$129:$A$130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'Glass bot.'!$D$129:$D$130</c:f>
              <c:numCache>
                <c:formatCode>General</c:formatCode>
                <c:ptCount val="2"/>
                <c:pt idx="0">
                  <c:v>1202.2200000000007</c:v>
                </c:pt>
                <c:pt idx="1">
                  <c:v>184.77900000000002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4FA-154F-A99A-30D12614A6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60977239150457"/>
          <c:y val="0.50015638439283761"/>
          <c:w val="0.24938172363906372"/>
          <c:h val="0.18418078780499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TYPE OF WASTE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05-844F-8A2F-992A726258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05-844F-8A2F-992A726258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05-844F-8A2F-992A726258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05-844F-8A2F-992A726258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05-844F-8A2F-992A7262583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05-844F-8A2F-992A7262583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605-844F-8A2F-992A7262583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605-844F-8A2F-992A726258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OVERALL!$A$26:$A$33</c:f>
              <c:strCache>
                <c:ptCount val="8"/>
                <c:pt idx="0">
                  <c:v>PET bottles</c:v>
                </c:pt>
                <c:pt idx="1">
                  <c:v>Plastic bags and wrapping</c:v>
                </c:pt>
                <c:pt idx="2">
                  <c:v>Glass bottles</c:v>
                </c:pt>
                <c:pt idx="3">
                  <c:v>Aluminum cans</c:v>
                </c:pt>
                <c:pt idx="4">
                  <c:v>Non-PET containers and items</c:v>
                </c:pt>
                <c:pt idx="5">
                  <c:v>Tetra Paks</c:v>
                </c:pt>
                <c:pt idx="6">
                  <c:v>Glass jars</c:v>
                </c:pt>
                <c:pt idx="7">
                  <c:v>Steel cans</c:v>
                </c:pt>
              </c:strCache>
            </c:strRef>
          </c:cat>
          <c:val>
            <c:numRef>
              <c:f>OVERALL!$B$26:$B$33</c:f>
              <c:numCache>
                <c:formatCode>#,##0</c:formatCode>
                <c:ptCount val="8"/>
                <c:pt idx="0">
                  <c:v>6674</c:v>
                </c:pt>
                <c:pt idx="1">
                  <c:v>5789</c:v>
                </c:pt>
                <c:pt idx="2">
                  <c:v>3095</c:v>
                </c:pt>
                <c:pt idx="3">
                  <c:v>1476</c:v>
                </c:pt>
                <c:pt idx="4">
                  <c:v>1099</c:v>
                </c:pt>
                <c:pt idx="5">
                  <c:v>872</c:v>
                </c:pt>
                <c:pt idx="6">
                  <c:v>639</c:v>
                </c:pt>
                <c:pt idx="7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605-844F-8A2F-992A7262583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BOTTLES BY WM PROCESS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C9-E941-A5D5-4F2914CF9D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C9-E941-A5D5-4F2914CF9D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bot.'!$A$147:$A$148</c:f>
              <c:strCache>
                <c:ptCount val="2"/>
                <c:pt idx="0">
                  <c:v>Reusing </c:v>
                </c:pt>
                <c:pt idx="1">
                  <c:v>Downcycling</c:v>
                </c:pt>
              </c:strCache>
            </c:strRef>
          </c:cat>
          <c:val>
            <c:numRef>
              <c:f>'Glass bot.'!$D$147:$D$148</c:f>
              <c:numCache>
                <c:formatCode>General</c:formatCode>
                <c:ptCount val="2"/>
                <c:pt idx="0">
                  <c:v>1026.9900000000002</c:v>
                </c:pt>
                <c:pt idx="1">
                  <c:v>360.00899999999996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C9-E941-A5D5-4F2914CF9D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31233394323047"/>
          <c:y val="0.45680936121940108"/>
          <c:w val="0.26605974889061812"/>
          <c:h val="0.199943341686245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GLASS BOTTLES BY COMPANY OF ORIGIN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E1-D44C-B41D-69B5CA6EC1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E1-D44C-B41D-69B5CA6EC1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E1-D44C-B41D-69B5CA6EC1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2E1-D44C-B41D-69B5CA6EC1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2E1-D44C-B41D-69B5CA6EC1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2E1-D44C-B41D-69B5CA6EC1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2E1-D44C-B41D-69B5CA6EC1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2E1-D44C-B41D-69B5CA6EC1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2E1-D44C-B41D-69B5CA6EC1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2E1-D44C-B41D-69B5CA6EC1A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2E1-D44C-B41D-69B5CA6EC1A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2E1-D44C-B41D-69B5CA6EC1A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6B0-A64A-9511-B4DE1E77C98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6B0-A64A-9511-B4DE1E77C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bot.'!$A$92:$A$105</c:f>
              <c:strCache>
                <c:ptCount val="14"/>
                <c:pt idx="0">
                  <c:v>APU</c:v>
                </c:pt>
                <c:pt idx="1">
                  <c:v>GEM</c:v>
                </c:pt>
                <c:pt idx="2">
                  <c:v>Khikh LLC</c:v>
                </c:pt>
                <c:pt idx="3">
                  <c:v>MSM Group</c:v>
                </c:pt>
                <c:pt idx="4">
                  <c:v>Arvain Undes Beverages</c:v>
                </c:pt>
                <c:pt idx="5">
                  <c:v>Chapriko LLC</c:v>
                </c:pt>
                <c:pt idx="6">
                  <c:v>Eden LLC</c:v>
                </c:pt>
                <c:pt idx="7">
                  <c:v>Nomin Foods LLC</c:v>
                </c:pt>
                <c:pt idx="8">
                  <c:v>Alkogroup (Хярын нуур ХХК)</c:v>
                </c:pt>
                <c:pt idx="9">
                  <c:v>Küvsgöl Khuns XK</c:v>
                </c:pt>
                <c:pt idx="10">
                  <c:v>Shine Ekhlel LLC</c:v>
                </c:pt>
                <c:pt idx="11">
                  <c:v>Zavkhan Bayalag XK</c:v>
                </c:pt>
                <c:pt idx="12">
                  <c:v>Altan Khuns Group LLC</c:v>
                </c:pt>
                <c:pt idx="13">
                  <c:v>Others / unidentified</c:v>
                </c:pt>
              </c:strCache>
            </c:strRef>
          </c:cat>
          <c:val>
            <c:numRef>
              <c:f>'Glass bot.'!$B$92:$B$105</c:f>
              <c:numCache>
                <c:formatCode>General</c:formatCode>
                <c:ptCount val="14"/>
                <c:pt idx="0">
                  <c:v>1841</c:v>
                </c:pt>
                <c:pt idx="1">
                  <c:v>499</c:v>
                </c:pt>
                <c:pt idx="2">
                  <c:v>308</c:v>
                </c:pt>
                <c:pt idx="3">
                  <c:v>59</c:v>
                </c:pt>
                <c:pt idx="4">
                  <c:v>19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2E1-D44C-B41D-69B5CA6EC1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29791730579129"/>
          <c:y val="0.11582610997154767"/>
          <c:w val="0.27171506970719567"/>
          <c:h val="0.84435585257725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GLASS BOTTLES BY COMPANY OF ORIGIN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0474675745107454"/>
          <c:y val="0.25317118693496643"/>
          <c:w val="0.46808371102153346"/>
          <c:h val="0.653583552055993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3C-C346-86B9-DA88FB3245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3C-C346-86B9-DA88FB3245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3C-C346-86B9-DA88FB3245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3C-C346-86B9-DA88FB3245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3C-C346-86B9-DA88FB32454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3C-C346-86B9-DA88FB32454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23C-C346-86B9-DA88FB32454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23C-C346-86B9-DA88FB32454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23C-C346-86B9-DA88FB32454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23C-C346-86B9-DA88FB32454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23C-C346-86B9-DA88FB32454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23C-C346-86B9-DA88FB32454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ABC-434A-B970-79784E63B72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ABC-434A-B970-79784E63B7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bot.'!$A$92:$A$105</c:f>
              <c:strCache>
                <c:ptCount val="14"/>
                <c:pt idx="0">
                  <c:v>APU</c:v>
                </c:pt>
                <c:pt idx="1">
                  <c:v>GEM</c:v>
                </c:pt>
                <c:pt idx="2">
                  <c:v>Khikh LLC</c:v>
                </c:pt>
                <c:pt idx="3">
                  <c:v>MSM Group</c:v>
                </c:pt>
                <c:pt idx="4">
                  <c:v>Arvain Undes Beverages</c:v>
                </c:pt>
                <c:pt idx="5">
                  <c:v>Chapriko LLC</c:v>
                </c:pt>
                <c:pt idx="6">
                  <c:v>Eden LLC</c:v>
                </c:pt>
                <c:pt idx="7">
                  <c:v>Nomin Foods LLC</c:v>
                </c:pt>
                <c:pt idx="8">
                  <c:v>Alkogroup (Хярын нуур ХХК)</c:v>
                </c:pt>
                <c:pt idx="9">
                  <c:v>Küvsgöl Khuns XK</c:v>
                </c:pt>
                <c:pt idx="10">
                  <c:v>Shine Ekhlel LLC</c:v>
                </c:pt>
                <c:pt idx="11">
                  <c:v>Zavkhan Bayalag XK</c:v>
                </c:pt>
                <c:pt idx="12">
                  <c:v>Altan Khuns Group LLC</c:v>
                </c:pt>
                <c:pt idx="13">
                  <c:v>Others / unidentified</c:v>
                </c:pt>
              </c:strCache>
            </c:strRef>
          </c:cat>
          <c:val>
            <c:numRef>
              <c:f>'Glass bot.'!$D$92:$D$105</c:f>
              <c:numCache>
                <c:formatCode>0.0</c:formatCode>
                <c:ptCount val="14"/>
                <c:pt idx="0">
                  <c:v>908.66000000000042</c:v>
                </c:pt>
                <c:pt idx="1">
                  <c:v>266.81</c:v>
                </c:pt>
                <c:pt idx="2">
                  <c:v>40.963999999999999</c:v>
                </c:pt>
                <c:pt idx="3">
                  <c:v>26.215</c:v>
                </c:pt>
                <c:pt idx="4">
                  <c:v>13.92</c:v>
                </c:pt>
                <c:pt idx="5">
                  <c:v>1.69</c:v>
                </c:pt>
                <c:pt idx="6">
                  <c:v>3.64</c:v>
                </c:pt>
                <c:pt idx="7">
                  <c:v>4</c:v>
                </c:pt>
                <c:pt idx="8">
                  <c:v>2.72</c:v>
                </c:pt>
                <c:pt idx="9">
                  <c:v>1.76</c:v>
                </c:pt>
                <c:pt idx="10">
                  <c:v>1.5</c:v>
                </c:pt>
                <c:pt idx="11">
                  <c:v>0.98</c:v>
                </c:pt>
                <c:pt idx="12">
                  <c:v>1.08</c:v>
                </c:pt>
                <c:pt idx="13">
                  <c:v>113.06000000000002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23C-C346-86B9-DA88FB3245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29791730579129"/>
          <c:y val="0.11582610997154767"/>
          <c:w val="0.27171506970719567"/>
          <c:h val="0.84435585257725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GLASS JARS BY TYPE OF PRODUCT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49-444A-BA35-E3F90A1170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49-444A-BA35-E3F90A1170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jars'!$A$77:$A$78</c:f>
              <c:strCache>
                <c:ptCount val="2"/>
                <c:pt idx="0">
                  <c:v>Other food</c:v>
                </c:pt>
                <c:pt idx="1">
                  <c:v>Coffee and tea</c:v>
                </c:pt>
              </c:strCache>
            </c:strRef>
          </c:cat>
          <c:val>
            <c:numRef>
              <c:f>'Glass jars'!$B$77:$B$78</c:f>
              <c:numCache>
                <c:formatCode>General</c:formatCode>
                <c:ptCount val="2"/>
                <c:pt idx="0">
                  <c:v>623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649-444A-BA35-E3F90A11705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97814443838913"/>
          <c:y val="0.42925901986132331"/>
          <c:w val="0.27171506970719567"/>
          <c:h val="0.22495299095075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GLASS JARS BY ORIGIN OF PRODUCTION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61-D346-8B4F-6A21743860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61-D346-8B4F-6A21743860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jars'!$A$96:$A$97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'Glass jars'!$B$96:$B$97</c:f>
              <c:numCache>
                <c:formatCode>General</c:formatCode>
                <c:ptCount val="2"/>
                <c:pt idx="0">
                  <c:v>227</c:v>
                </c:pt>
                <c:pt idx="1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61-D346-8B4F-6A21743860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GLASS JARS BY WM PROCESS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6-E040-A30A-F7081D9A1C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6-E040-A30A-F7081D9A1C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jars'!$A$114:$A$115</c:f>
              <c:strCache>
                <c:ptCount val="2"/>
                <c:pt idx="0">
                  <c:v>Reusing </c:v>
                </c:pt>
                <c:pt idx="1">
                  <c:v>Downcyling</c:v>
                </c:pt>
              </c:strCache>
            </c:strRef>
          </c:cat>
          <c:val>
            <c:numRef>
              <c:f>'Glass jars'!$B$114:$B$115</c:f>
              <c:numCache>
                <c:formatCode>General</c:formatCode>
                <c:ptCount val="2"/>
                <c:pt idx="0">
                  <c:v>292</c:v>
                </c:pt>
                <c:pt idx="1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D6-E040-A30A-F7081D9A1C6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JARS BY TYPE OF PRODUCT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33-2E42-9F11-274E642F8B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33-2E42-9F11-274E642F8B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jars'!$A$77:$A$78</c:f>
              <c:strCache>
                <c:ptCount val="2"/>
                <c:pt idx="0">
                  <c:v>Other food</c:v>
                </c:pt>
                <c:pt idx="1">
                  <c:v>Coffee and tea</c:v>
                </c:pt>
              </c:strCache>
            </c:strRef>
          </c:cat>
          <c:val>
            <c:numRef>
              <c:f>'Glass jars'!$D$77:$D$78</c:f>
              <c:numCache>
                <c:formatCode>0.0</c:formatCode>
                <c:ptCount val="2"/>
                <c:pt idx="0">
                  <c:v>179.27</c:v>
                </c:pt>
                <c:pt idx="1">
                  <c:v>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133-2E42-9F11-274E642F8B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89653909540373"/>
          <c:y val="0.43568480519860669"/>
          <c:w val="0.27049880974180551"/>
          <c:h val="0.223381728770892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JARS BY ORIGIN OF PRODUCTION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A3-CD4E-B307-79DDF4274B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A3-CD4E-B307-79DDF4274B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jars'!$A$96:$A$97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'Glass jars'!$D$96:$D$97</c:f>
              <c:numCache>
                <c:formatCode>0.0</c:formatCode>
                <c:ptCount val="2"/>
                <c:pt idx="0">
                  <c:v>60.68</c:v>
                </c:pt>
                <c:pt idx="1">
                  <c:v>121.95000000000003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A3-CD4E-B307-79DDF4274BD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JARS BY ORIGIN OF PRODUCTION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A6-304E-8245-39E2F98979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A6-304E-8245-39E2F98979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jars'!$A$114:$A$115</c:f>
              <c:strCache>
                <c:ptCount val="2"/>
                <c:pt idx="0">
                  <c:v>Reusing </c:v>
                </c:pt>
                <c:pt idx="1">
                  <c:v>Downcyling</c:v>
                </c:pt>
              </c:strCache>
            </c:strRef>
          </c:cat>
          <c:val>
            <c:numRef>
              <c:f>'Glass jars'!$D$114:$D$115</c:f>
              <c:numCache>
                <c:formatCode>0.0</c:formatCode>
                <c:ptCount val="2"/>
                <c:pt idx="0">
                  <c:v>90.95</c:v>
                </c:pt>
                <c:pt idx="1">
                  <c:v>91.68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6-304E-8245-39E2F98979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JARS BY COMPANY OF ORIGIN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16-0243-86F2-9081578FE7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16-0243-86F2-9081578FE7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16-0243-86F2-9081578FE7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16-0243-86F2-9081578FE7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16-0243-86F2-9081578FE7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016-0243-86F2-9081578FE7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016-0243-86F2-9081578FE79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016-0243-86F2-9081578FE79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016-0243-86F2-9081578FE79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016-0243-86F2-9081578FE7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jars'!$A$57:$A$66</c:f>
              <c:strCache>
                <c:ptCount val="10"/>
                <c:pt idx="0">
                  <c:v>GBT Trading LLC</c:v>
                </c:pt>
                <c:pt idx="1">
                  <c:v>Gut &amp; Günstig importer</c:v>
                </c:pt>
                <c:pt idx="2">
                  <c:v>Urbanek Mongol LLC</c:v>
                </c:pt>
                <c:pt idx="3">
                  <c:v>Bayasakh International LLC</c:v>
                </c:pt>
                <c:pt idx="4">
                  <c:v>Nomin Foods LLC</c:v>
                </c:pt>
                <c:pt idx="5">
                  <c:v>Durvun Ulzii LLC</c:v>
                </c:pt>
                <c:pt idx="6">
                  <c:v>Lucha LLC</c:v>
                </c:pt>
                <c:pt idx="7">
                  <c:v>Undrakh Mandakh Govi</c:v>
                </c:pt>
                <c:pt idx="8">
                  <c:v>Golden Sweet Co. Ltd</c:v>
                </c:pt>
                <c:pt idx="9">
                  <c:v>Others / unidentified</c:v>
                </c:pt>
              </c:strCache>
            </c:strRef>
          </c:cat>
          <c:val>
            <c:numRef>
              <c:f>'Glass jars'!$B$57:$B$66</c:f>
              <c:numCache>
                <c:formatCode>General</c:formatCode>
                <c:ptCount val="10"/>
                <c:pt idx="0">
                  <c:v>141</c:v>
                </c:pt>
                <c:pt idx="1">
                  <c:v>70</c:v>
                </c:pt>
                <c:pt idx="2">
                  <c:v>68</c:v>
                </c:pt>
                <c:pt idx="3">
                  <c:v>54</c:v>
                </c:pt>
                <c:pt idx="4">
                  <c:v>41</c:v>
                </c:pt>
                <c:pt idx="5">
                  <c:v>35</c:v>
                </c:pt>
                <c:pt idx="6">
                  <c:v>19</c:v>
                </c:pt>
                <c:pt idx="7">
                  <c:v>11</c:v>
                </c:pt>
                <c:pt idx="8">
                  <c:v>11</c:v>
                </c:pt>
                <c:pt idx="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4D3D-204F-9D61-5E529A6865AA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D3D-204F-9D61-5E529A6865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4D3D-204F-9D61-5E529A6865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4D3D-204F-9D61-5E529A6865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4D3D-204F-9D61-5E529A6865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4D3D-204F-9D61-5E529A6865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4D3D-204F-9D61-5E529A6865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4D3D-204F-9D61-5E529A6865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4D3D-204F-9D61-5E529A6865A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4D3D-204F-9D61-5E529A6865A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4D3D-204F-9D61-5E529A6865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jars'!$A$57:$A$66</c:f>
              <c:strCache>
                <c:ptCount val="10"/>
                <c:pt idx="0">
                  <c:v>GBT Trading LLC</c:v>
                </c:pt>
                <c:pt idx="1">
                  <c:v>Gut &amp; Günstig importer</c:v>
                </c:pt>
                <c:pt idx="2">
                  <c:v>Urbanek Mongol LLC</c:v>
                </c:pt>
                <c:pt idx="3">
                  <c:v>Bayasakh International LLC</c:v>
                </c:pt>
                <c:pt idx="4">
                  <c:v>Nomin Foods LLC</c:v>
                </c:pt>
                <c:pt idx="5">
                  <c:v>Durvun Ulzii LLC</c:v>
                </c:pt>
                <c:pt idx="6">
                  <c:v>Lucha LLC</c:v>
                </c:pt>
                <c:pt idx="7">
                  <c:v>Undrakh Mandakh Govi</c:v>
                </c:pt>
                <c:pt idx="8">
                  <c:v>Golden Sweet Co. Ltd</c:v>
                </c:pt>
                <c:pt idx="9">
                  <c:v>Others / unidentified</c:v>
                </c:pt>
              </c:strCache>
            </c:strRef>
          </c:cat>
          <c:val>
            <c:numRef>
              <c:f>'Glass jars'!$B$57:$B$66</c:f>
              <c:numCache>
                <c:formatCode>General</c:formatCode>
                <c:ptCount val="10"/>
                <c:pt idx="0">
                  <c:v>141</c:v>
                </c:pt>
                <c:pt idx="1">
                  <c:v>70</c:v>
                </c:pt>
                <c:pt idx="2">
                  <c:v>68</c:v>
                </c:pt>
                <c:pt idx="3">
                  <c:v>54</c:v>
                </c:pt>
                <c:pt idx="4">
                  <c:v>41</c:v>
                </c:pt>
                <c:pt idx="5">
                  <c:v>35</c:v>
                </c:pt>
                <c:pt idx="6">
                  <c:v>19</c:v>
                </c:pt>
                <c:pt idx="7">
                  <c:v>11</c:v>
                </c:pt>
                <c:pt idx="8">
                  <c:v>11</c:v>
                </c:pt>
                <c:pt idx="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4D3D-204F-9D61-5E529A6865A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MAIN TYPE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5D-594A-838A-CB79A1188A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5D-594A-838A-CB79A1188A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5D-594A-838A-CB79A1188A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5D-594A-838A-CB79A1188A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OVERALL!$A$5:$A$8</c:f>
              <c:strCache>
                <c:ptCount val="4"/>
                <c:pt idx="0">
                  <c:v>Plastic bottles, bags and wrapping</c:v>
                </c:pt>
                <c:pt idx="1">
                  <c:v>Glass bottles and jars</c:v>
                </c:pt>
                <c:pt idx="2">
                  <c:v>Metal cans</c:v>
                </c:pt>
                <c:pt idx="3">
                  <c:v>Tetra Paks</c:v>
                </c:pt>
              </c:strCache>
            </c:strRef>
          </c:cat>
          <c:val>
            <c:numRef>
              <c:f>OVERALL!$D$5:$D$8</c:f>
              <c:numCache>
                <c:formatCode>#,##0</c:formatCode>
                <c:ptCount val="4"/>
                <c:pt idx="0">
                  <c:v>494.71799999999985</c:v>
                </c:pt>
                <c:pt idx="1">
                  <c:v>1569.6290000000004</c:v>
                </c:pt>
                <c:pt idx="2">
                  <c:v>40.274999999999999</c:v>
                </c:pt>
                <c:pt idx="3">
                  <c:v>34.880000000000003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65D-594A-838A-CB79A1188A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6242667647"/>
          <c:y val="0.2763745398698228"/>
          <c:w val="0.33561511933101384"/>
          <c:h val="0.49804880427098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JARS BY COMPANY OF ORIGIN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F9-0C40-B4B8-8CB52D2DD0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F9-0C40-B4B8-8CB52D2DD0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F9-0C40-B4B8-8CB52D2DD0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F9-0C40-B4B8-8CB52D2DD0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9F9-0C40-B4B8-8CB52D2DD0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9F9-0C40-B4B8-8CB52D2DD0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9F9-0C40-B4B8-8CB52D2DD0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9F9-0C40-B4B8-8CB52D2DD0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9F9-0C40-B4B8-8CB52D2DD00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9F9-0C40-B4B8-8CB52D2DD0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'Glass jars'!$A$57:$A$66</c:f>
              <c:strCache>
                <c:ptCount val="10"/>
                <c:pt idx="0">
                  <c:v>GBT Trading LLC</c:v>
                </c:pt>
                <c:pt idx="1">
                  <c:v>Gut &amp; Günstig importer</c:v>
                </c:pt>
                <c:pt idx="2">
                  <c:v>Urbanek Mongol LLC</c:v>
                </c:pt>
                <c:pt idx="3">
                  <c:v>Bayasakh International LLC</c:v>
                </c:pt>
                <c:pt idx="4">
                  <c:v>Nomin Foods LLC</c:v>
                </c:pt>
                <c:pt idx="5">
                  <c:v>Durvun Ulzii LLC</c:v>
                </c:pt>
                <c:pt idx="6">
                  <c:v>Lucha LLC</c:v>
                </c:pt>
                <c:pt idx="7">
                  <c:v>Undrakh Mandakh Govi</c:v>
                </c:pt>
                <c:pt idx="8">
                  <c:v>Golden Sweet Co. Ltd</c:v>
                </c:pt>
                <c:pt idx="9">
                  <c:v>Others / unidentified</c:v>
                </c:pt>
              </c:strCache>
            </c:strRef>
          </c:cat>
          <c:val>
            <c:numRef>
              <c:f>'Glass jars'!$D$57:$D$66</c:f>
              <c:numCache>
                <c:formatCode>0.0</c:formatCode>
                <c:ptCount val="10"/>
                <c:pt idx="0">
                  <c:v>40.960000000000008</c:v>
                </c:pt>
                <c:pt idx="1">
                  <c:v>17.36</c:v>
                </c:pt>
                <c:pt idx="2">
                  <c:v>21.349999999999998</c:v>
                </c:pt>
                <c:pt idx="3">
                  <c:v>18.22</c:v>
                </c:pt>
                <c:pt idx="4">
                  <c:v>6.120000000000001</c:v>
                </c:pt>
                <c:pt idx="5">
                  <c:v>10.17</c:v>
                </c:pt>
                <c:pt idx="6">
                  <c:v>4.18</c:v>
                </c:pt>
                <c:pt idx="7">
                  <c:v>4.4000000000000004</c:v>
                </c:pt>
                <c:pt idx="8">
                  <c:v>2.64</c:v>
                </c:pt>
                <c:pt idx="9">
                  <c:v>57.230000000000004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9F9-0C40-B4B8-8CB52D2DD0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DISTRIBUTION</a:t>
            </a:r>
            <a:r>
              <a:rPr lang="en-US" b="1" baseline="0"/>
              <a:t> OF GLASS WASTE BY COMPANY OF ORIGIN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D5-A643-8679-B1B12E35D5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D5-A643-8679-B1B12E35D5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D5-A643-8679-B1B12E35D5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D5-A643-8679-B1B12E35D5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D5-A643-8679-B1B12E35D5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D5-A643-8679-B1B12E35D5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D5-A643-8679-B1B12E35D5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ED5-A643-8679-B1B12E35D575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627-7841-8115-97697BF7B6D2}"/>
              </c:ext>
            </c:extLst>
          </c:dPt>
          <c:dPt>
            <c:idx val="9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627-7841-8115-97697BF7B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GLASS'!$A$7:$A$16</c:f>
              <c:strCache>
                <c:ptCount val="10"/>
                <c:pt idx="0">
                  <c:v>APU</c:v>
                </c:pt>
                <c:pt idx="1">
                  <c:v>GEM</c:v>
                </c:pt>
                <c:pt idx="2">
                  <c:v>Khikh LLC</c:v>
                </c:pt>
                <c:pt idx="3">
                  <c:v>GBT Trading LLC</c:v>
                </c:pt>
                <c:pt idx="4">
                  <c:v>Gut &amp; Günstig importer</c:v>
                </c:pt>
                <c:pt idx="5">
                  <c:v>Urbanek Mongol LLC</c:v>
                </c:pt>
                <c:pt idx="6">
                  <c:v>MSM Group</c:v>
                </c:pt>
                <c:pt idx="7">
                  <c:v>Bayasakh International LLC</c:v>
                </c:pt>
                <c:pt idx="8">
                  <c:v>Nomin Foods LLC</c:v>
                </c:pt>
                <c:pt idx="9">
                  <c:v>Others / unidentified</c:v>
                </c:pt>
              </c:strCache>
            </c:strRef>
          </c:cat>
          <c:val>
            <c:numRef>
              <c:f>'TOT. GLASS'!$B$7:$B$16</c:f>
              <c:numCache>
                <c:formatCode>General</c:formatCode>
                <c:ptCount val="10"/>
                <c:pt idx="0">
                  <c:v>1841</c:v>
                </c:pt>
                <c:pt idx="1">
                  <c:v>499</c:v>
                </c:pt>
                <c:pt idx="2">
                  <c:v>308</c:v>
                </c:pt>
                <c:pt idx="3">
                  <c:v>141</c:v>
                </c:pt>
                <c:pt idx="4">
                  <c:v>70</c:v>
                </c:pt>
                <c:pt idx="5">
                  <c:v>68</c:v>
                </c:pt>
                <c:pt idx="6">
                  <c:v>59</c:v>
                </c:pt>
                <c:pt idx="7">
                  <c:v>54</c:v>
                </c:pt>
                <c:pt idx="8">
                  <c:v>49</c:v>
                </c:pt>
                <c:pt idx="9" formatCode="#,##0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ED5-A643-8679-B1B12E35D57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GLASS WASTE BY TYPE OF ITEM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7-274D-BC71-399C8009C4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7-274D-BC71-399C8009C4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GLASS'!$A$34:$A$35</c:f>
              <c:strCache>
                <c:ptCount val="2"/>
                <c:pt idx="0">
                  <c:v>Glass bottles</c:v>
                </c:pt>
                <c:pt idx="1">
                  <c:v>Glass jars</c:v>
                </c:pt>
              </c:strCache>
            </c:strRef>
          </c:cat>
          <c:val>
            <c:numRef>
              <c:f>'TOT. GLASS'!$B$34:$B$35</c:f>
              <c:numCache>
                <c:formatCode>General</c:formatCode>
                <c:ptCount val="2"/>
                <c:pt idx="0">
                  <c:v>3095</c:v>
                </c:pt>
                <c:pt idx="1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A7-274D-BC71-399C8009C4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181965675840616"/>
          <c:y val="0.36955752732400987"/>
          <c:w val="0.1885392137892026"/>
          <c:h val="0.24734105065225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GLASS WASTE BY ORIGIN OF PRODUCTION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F2-3A48-832F-76A1EDCFBA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F2-3A48-832F-76A1EDCFBA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GLASS'!$A$75:$A$76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'TOT. GLASS'!$B$75:$B$76</c:f>
              <c:numCache>
                <c:formatCode>General</c:formatCode>
                <c:ptCount val="2"/>
                <c:pt idx="0">
                  <c:v>2621</c:v>
                </c:pt>
                <c:pt idx="1">
                  <c:v>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F2-3A48-832F-76A1EDCFBA6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GLASS WASTE BY WM PROCESS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B0-194B-A0CF-98709F4FC0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B0-194B-A0CF-98709F4FC0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GLASS'!$A$94:$A$95</c:f>
              <c:strCache>
                <c:ptCount val="2"/>
                <c:pt idx="0">
                  <c:v>Reusing </c:v>
                </c:pt>
                <c:pt idx="1">
                  <c:v>Downcycling</c:v>
                </c:pt>
              </c:strCache>
            </c:strRef>
          </c:cat>
          <c:val>
            <c:numRef>
              <c:f>'TOT. GLASS'!$B$94:$B$95</c:f>
              <c:numCache>
                <c:formatCode>General</c:formatCode>
                <c:ptCount val="2"/>
                <c:pt idx="0">
                  <c:v>2306</c:v>
                </c:pt>
                <c:pt idx="1">
                  <c:v>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B0-194B-A0CF-98709F4FC0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WASTE BY TYPE OF ITEM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1-C14F-8767-6B56D65D57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1-C14F-8767-6B56D65D57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GLASS'!$A$34:$A$35</c:f>
              <c:strCache>
                <c:ptCount val="2"/>
                <c:pt idx="0">
                  <c:v>Glass bottles</c:v>
                </c:pt>
                <c:pt idx="1">
                  <c:v>Glass jars</c:v>
                </c:pt>
              </c:strCache>
            </c:strRef>
          </c:cat>
          <c:val>
            <c:numRef>
              <c:f>'TOT. GLASS'!$D$34:$D$35</c:f>
              <c:numCache>
                <c:formatCode>0.0</c:formatCode>
                <c:ptCount val="2"/>
                <c:pt idx="0">
                  <c:v>1386.9990000000005</c:v>
                </c:pt>
                <c:pt idx="1">
                  <c:v>182.63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1-C14F-8767-6B56D65D57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50265729212149"/>
          <c:y val="0.42081491672277027"/>
          <c:w val="0.15397073214796528"/>
          <c:h val="0.18248953546234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WASTE BY ORIGIN OF PRODUCTION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53-8A49-BF80-111EAD6E74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53-8A49-BF80-111EAD6E74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GLASS'!$A$75:$A$76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'TOT. GLASS'!$D$75:$D$76</c:f>
              <c:numCache>
                <c:formatCode>0.0</c:formatCode>
                <c:ptCount val="2"/>
                <c:pt idx="0">
                  <c:v>1262.9000000000008</c:v>
                </c:pt>
                <c:pt idx="1">
                  <c:v>306.72900000000004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53-8A49-BF80-111EAD6E74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WASTE BY WM PROCESS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E2-C148-9BA7-81B6CDB84E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E2-C148-9BA7-81B6CDB84E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GLASS'!$A$94:$A$95</c:f>
              <c:strCache>
                <c:ptCount val="2"/>
                <c:pt idx="0">
                  <c:v>Reusing </c:v>
                </c:pt>
                <c:pt idx="1">
                  <c:v>Downcycling</c:v>
                </c:pt>
              </c:strCache>
            </c:strRef>
          </c:cat>
          <c:val>
            <c:numRef>
              <c:f>'TOT. GLASS'!$D$94:$D$95</c:f>
              <c:numCache>
                <c:formatCode>0.0</c:formatCode>
                <c:ptCount val="2"/>
                <c:pt idx="0">
                  <c:v>1117.9400000000003</c:v>
                </c:pt>
                <c:pt idx="1">
                  <c:v>451.68899999999996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E2-C148-9BA7-81B6CDB84E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667804263907118"/>
          <c:y val="0.461320794156934"/>
          <c:w val="0.18475582608219723"/>
          <c:h val="0.12014823420794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WASTE BY COMPANY OF ORIGIN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BB-5745-9E38-154AC7DBE5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BB-5745-9E38-154AC7DBE5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BB-5745-9E38-154AC7DBE5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BB-5745-9E38-154AC7DBE5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BB-5745-9E38-154AC7DBE5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DBB-5745-9E38-154AC7DBE5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BB-5745-9E38-154AC7DBE5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DBB-5745-9E38-154AC7DBE5A8}"/>
              </c:ext>
            </c:extLst>
          </c:dPt>
          <c:dPt>
            <c:idx val="8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671-0941-AFC6-19D803DD8EEF}"/>
              </c:ext>
            </c:extLst>
          </c:dPt>
          <c:dPt>
            <c:idx val="9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671-0941-AFC6-19D803DD8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GLASS'!$A$7:$A$16</c:f>
              <c:strCache>
                <c:ptCount val="10"/>
                <c:pt idx="0">
                  <c:v>APU</c:v>
                </c:pt>
                <c:pt idx="1">
                  <c:v>GEM</c:v>
                </c:pt>
                <c:pt idx="2">
                  <c:v>Khikh LLC</c:v>
                </c:pt>
                <c:pt idx="3">
                  <c:v>GBT Trading LLC</c:v>
                </c:pt>
                <c:pt idx="4">
                  <c:v>Gut &amp; Günstig importer</c:v>
                </c:pt>
                <c:pt idx="5">
                  <c:v>Urbanek Mongol LLC</c:v>
                </c:pt>
                <c:pt idx="6">
                  <c:v>MSM Group</c:v>
                </c:pt>
                <c:pt idx="7">
                  <c:v>Bayasakh International LLC</c:v>
                </c:pt>
                <c:pt idx="8">
                  <c:v>Nomin Foods LLC</c:v>
                </c:pt>
                <c:pt idx="9">
                  <c:v>Others / unidentified</c:v>
                </c:pt>
              </c:strCache>
            </c:strRef>
          </c:cat>
          <c:val>
            <c:numRef>
              <c:f>'TOT. GLASS'!$D$7:$D$16</c:f>
              <c:numCache>
                <c:formatCode>0.0</c:formatCode>
                <c:ptCount val="10"/>
                <c:pt idx="0">
                  <c:v>908.66000000000042</c:v>
                </c:pt>
                <c:pt idx="1">
                  <c:v>266.81</c:v>
                </c:pt>
                <c:pt idx="2">
                  <c:v>40.963999999999999</c:v>
                </c:pt>
                <c:pt idx="3">
                  <c:v>40.960000000000008</c:v>
                </c:pt>
                <c:pt idx="4">
                  <c:v>17.36</c:v>
                </c:pt>
                <c:pt idx="5">
                  <c:v>21.349999999999998</c:v>
                </c:pt>
                <c:pt idx="6">
                  <c:v>26.215</c:v>
                </c:pt>
                <c:pt idx="7">
                  <c:v>18.22</c:v>
                </c:pt>
                <c:pt idx="8">
                  <c:v>10.120000000000001</c:v>
                </c:pt>
                <c:pt idx="9" formatCode="General">
                  <c:v>218.96999999999997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BB-5745-9E38-154AC7DBE5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WASTE BY TYPE OF PRODUCT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7-CF46-895D-32493D4584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7-CF46-895D-32493D4584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7-CF46-895D-32493D4584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7-CF46-895D-32493D4584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77-CF46-895D-32493D45841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77-CF46-895D-32493D45841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677-CF46-895D-32493D45841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677-CF46-895D-32493D45841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931-554A-B549-E192497D889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931-554A-B549-E192497D889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931-554A-B549-E192497D889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931-554A-B549-E192497D889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931-554A-B549-E192497D88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GLASS'!$A$53:$A$65</c:f>
              <c:strCache>
                <c:ptCount val="13"/>
                <c:pt idx="0">
                  <c:v>Vodka</c:v>
                </c:pt>
                <c:pt idx="1">
                  <c:v>Other food</c:v>
                </c:pt>
                <c:pt idx="2">
                  <c:v>Soda</c:v>
                </c:pt>
                <c:pt idx="3">
                  <c:v>Beer</c:v>
                </c:pt>
                <c:pt idx="4">
                  <c:v>Wine</c:v>
                </c:pt>
                <c:pt idx="5">
                  <c:v>Other liquor</c:v>
                </c:pt>
                <c:pt idx="6">
                  <c:v>Juice</c:v>
                </c:pt>
                <c:pt idx="7">
                  <c:v>Vegetal oil</c:v>
                </c:pt>
                <c:pt idx="8">
                  <c:v>Health and body care</c:v>
                </c:pt>
                <c:pt idx="9">
                  <c:v>Coffee and tea</c:v>
                </c:pt>
                <c:pt idx="10">
                  <c:v>Dairy</c:v>
                </c:pt>
                <c:pt idx="11">
                  <c:v>Other goods</c:v>
                </c:pt>
                <c:pt idx="12">
                  <c:v>Water</c:v>
                </c:pt>
              </c:strCache>
            </c:strRef>
          </c:cat>
          <c:val>
            <c:numRef>
              <c:f>'TOT. GLASS'!$B$53:$B$65</c:f>
              <c:numCache>
                <c:formatCode>General</c:formatCode>
                <c:ptCount val="13"/>
                <c:pt idx="0">
                  <c:v>2145</c:v>
                </c:pt>
                <c:pt idx="1">
                  <c:v>637</c:v>
                </c:pt>
                <c:pt idx="2">
                  <c:v>351</c:v>
                </c:pt>
                <c:pt idx="3">
                  <c:v>276</c:v>
                </c:pt>
                <c:pt idx="4">
                  <c:v>138</c:v>
                </c:pt>
                <c:pt idx="5">
                  <c:v>60</c:v>
                </c:pt>
                <c:pt idx="6">
                  <c:v>38</c:v>
                </c:pt>
                <c:pt idx="7">
                  <c:v>27</c:v>
                </c:pt>
                <c:pt idx="8">
                  <c:v>32</c:v>
                </c:pt>
                <c:pt idx="9">
                  <c:v>16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677-CF46-895D-32493D45841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DISTRIBUTION</a:t>
            </a:r>
            <a:r>
              <a:rPr lang="en-US" b="1" baseline="0"/>
              <a:t> OF WASTE BY MAIN TYPE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1C-DE4D-A1F2-1FD6958860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1C-DE4D-A1F2-1FD6958860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1C-DE4D-A1F2-1FD6958860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1C-DE4D-A1F2-1FD6958860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OVERALL!$A$5:$A$8</c:f>
              <c:strCache>
                <c:ptCount val="4"/>
                <c:pt idx="0">
                  <c:v>Plastic bottles, bags and wrapping</c:v>
                </c:pt>
                <c:pt idx="1">
                  <c:v>Glass bottles and jars</c:v>
                </c:pt>
                <c:pt idx="2">
                  <c:v>Metal cans</c:v>
                </c:pt>
                <c:pt idx="3">
                  <c:v>Tetra Paks</c:v>
                </c:pt>
              </c:strCache>
            </c:strRef>
          </c:cat>
          <c:val>
            <c:numRef>
              <c:f>OVERALL!$B$5:$B$8</c:f>
              <c:numCache>
                <c:formatCode>#,##0</c:formatCode>
                <c:ptCount val="4"/>
                <c:pt idx="0">
                  <c:v>13562</c:v>
                </c:pt>
                <c:pt idx="1">
                  <c:v>3734</c:v>
                </c:pt>
                <c:pt idx="2">
                  <c:v>1879</c:v>
                </c:pt>
                <c:pt idx="3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E1C-DE4D-A1F2-1FD6958860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28268949602774"/>
          <c:y val="0.28028061912821645"/>
          <c:w val="0.33561511933101384"/>
          <c:h val="0.52725341575293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GLASS WASTE BY TYPE OF PRODUCT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4F-1C48-A33B-82729718F3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4F-1C48-A33B-82729718F3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4F-1C48-A33B-82729718F3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4F-1C48-A33B-82729718F3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4F-1C48-A33B-82729718F3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4F-1C48-A33B-82729718F3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4F-1C48-A33B-82729718F30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4F-1C48-A33B-82729718F30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4F-1C48-A33B-82729718F30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4F-1C48-A33B-82729718F30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F4F-1C48-A33B-82729718F30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F4F-1C48-A33B-82729718F30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F4F-1C48-A33B-82729718F3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GLASS'!$A$53:$A$65</c:f>
              <c:strCache>
                <c:ptCount val="13"/>
                <c:pt idx="0">
                  <c:v>Vodka</c:v>
                </c:pt>
                <c:pt idx="1">
                  <c:v>Other food</c:v>
                </c:pt>
                <c:pt idx="2">
                  <c:v>Soda</c:v>
                </c:pt>
                <c:pt idx="3">
                  <c:v>Beer</c:v>
                </c:pt>
                <c:pt idx="4">
                  <c:v>Wine</c:v>
                </c:pt>
                <c:pt idx="5">
                  <c:v>Other liquor</c:v>
                </c:pt>
                <c:pt idx="6">
                  <c:v>Juice</c:v>
                </c:pt>
                <c:pt idx="7">
                  <c:v>Vegetal oil</c:v>
                </c:pt>
                <c:pt idx="8">
                  <c:v>Health and body care</c:v>
                </c:pt>
                <c:pt idx="9">
                  <c:v>Coffee and tea</c:v>
                </c:pt>
                <c:pt idx="10">
                  <c:v>Dairy</c:v>
                </c:pt>
                <c:pt idx="11">
                  <c:v>Other goods</c:v>
                </c:pt>
                <c:pt idx="12">
                  <c:v>Water</c:v>
                </c:pt>
              </c:strCache>
            </c:strRef>
          </c:cat>
          <c:val>
            <c:numRef>
              <c:f>'TOT. GLASS'!$D$53:$D$65</c:f>
              <c:numCache>
                <c:formatCode>General</c:formatCode>
                <c:ptCount val="13"/>
                <c:pt idx="0">
                  <c:v>1109.3800000000006</c:v>
                </c:pt>
                <c:pt idx="1">
                  <c:v>182.07000000000002</c:v>
                </c:pt>
                <c:pt idx="2">
                  <c:v>47.959000000000003</c:v>
                </c:pt>
                <c:pt idx="3">
                  <c:v>100.45000000000002</c:v>
                </c:pt>
                <c:pt idx="4">
                  <c:v>67.62</c:v>
                </c:pt>
                <c:pt idx="5">
                  <c:v>30</c:v>
                </c:pt>
                <c:pt idx="6">
                  <c:v>10.64</c:v>
                </c:pt>
                <c:pt idx="7">
                  <c:v>8.4499999999999993</c:v>
                </c:pt>
                <c:pt idx="8">
                  <c:v>4.3</c:v>
                </c:pt>
                <c:pt idx="9">
                  <c:v>3.36</c:v>
                </c:pt>
                <c:pt idx="10">
                  <c:v>1.1499999999999999</c:v>
                </c:pt>
                <c:pt idx="11">
                  <c:v>1.4</c:v>
                </c:pt>
                <c:pt idx="12">
                  <c:v>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F4F-1C48-A33B-82729718F30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PET BOTTLES BY COMPANY OF ORIGIN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8B-8B49-A484-087F94540B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8B-8B49-A484-087F94540B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8B-8B49-A484-087F94540B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8B-8B49-A484-087F94540B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8B-8B49-A484-087F94540B8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8B-8B49-A484-087F94540B8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8B-8B49-A484-087F94540B8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8B-8B49-A484-087F94540B8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F8B-8B49-A484-087F94540B8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F8B-8B49-A484-087F94540B8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F8B-8B49-A484-087F94540B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'PET bot.'!$A$69:$A$79</c:f>
              <c:strCache>
                <c:ptCount val="11"/>
                <c:pt idx="0">
                  <c:v>MCS</c:v>
                </c:pt>
                <c:pt idx="1">
                  <c:v>APU</c:v>
                </c:pt>
                <c:pt idx="2">
                  <c:v>Vitafit</c:v>
                </c:pt>
                <c:pt idx="3">
                  <c:v>GN Beverages LLC</c:v>
                </c:pt>
                <c:pt idx="4">
                  <c:v>MGL aqua LLC</c:v>
                </c:pt>
                <c:pt idx="5">
                  <c:v>Lucha LLC</c:v>
                </c:pt>
                <c:pt idx="6">
                  <c:v>Altanboshgo LLC</c:v>
                </c:pt>
                <c:pt idx="7">
                  <c:v>Monjuice LLC</c:v>
                </c:pt>
                <c:pt idx="8">
                  <c:v>Monos Group LLC</c:v>
                </c:pt>
                <c:pt idx="9">
                  <c:v>GEM</c:v>
                </c:pt>
                <c:pt idx="10">
                  <c:v>Others / unidentified</c:v>
                </c:pt>
              </c:strCache>
            </c:strRef>
          </c:cat>
          <c:val>
            <c:numRef>
              <c:f>'PET bot.'!$B$69:$B$79</c:f>
              <c:numCache>
                <c:formatCode>General</c:formatCode>
                <c:ptCount val="11"/>
                <c:pt idx="0">
                  <c:v>2856</c:v>
                </c:pt>
                <c:pt idx="1">
                  <c:v>1102</c:v>
                </c:pt>
                <c:pt idx="2">
                  <c:v>1035</c:v>
                </c:pt>
                <c:pt idx="3">
                  <c:v>260</c:v>
                </c:pt>
                <c:pt idx="4">
                  <c:v>120</c:v>
                </c:pt>
                <c:pt idx="5">
                  <c:v>119</c:v>
                </c:pt>
                <c:pt idx="6">
                  <c:v>83</c:v>
                </c:pt>
                <c:pt idx="7">
                  <c:v>82</c:v>
                </c:pt>
                <c:pt idx="8">
                  <c:v>75</c:v>
                </c:pt>
                <c:pt idx="9">
                  <c:v>67</c:v>
                </c:pt>
                <c:pt idx="10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F8B-8B49-A484-087F94540B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PET BOTTLES BY TYPE OF PRODUCT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B3-F649-BF13-D051AE0042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B3-F649-BF13-D051AE0042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B3-F649-BF13-D051AE0042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B3-F649-BF13-D051AE0042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B3-F649-BF13-D051AE0042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B3-F649-BF13-D051AE0042E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B3-F649-BF13-D051AE0042E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B3-F649-BF13-D051AE0042E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B3-F649-BF13-D051AE0042E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3B3-F649-BF13-D051AE0042E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3B3-F649-BF13-D051AE0042E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327-E04B-90DD-E43639129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'PET bot.'!$A$87:$A$98</c:f>
              <c:strCache>
                <c:ptCount val="12"/>
                <c:pt idx="0">
                  <c:v>Soda</c:v>
                </c:pt>
                <c:pt idx="1">
                  <c:v>Juice</c:v>
                </c:pt>
                <c:pt idx="2">
                  <c:v>Beer</c:v>
                </c:pt>
                <c:pt idx="3">
                  <c:v>Water</c:v>
                </c:pt>
                <c:pt idx="4">
                  <c:v>Vegetal oil</c:v>
                </c:pt>
                <c:pt idx="5">
                  <c:v>Health and body care</c:v>
                </c:pt>
                <c:pt idx="6">
                  <c:v>Other food</c:v>
                </c:pt>
                <c:pt idx="7">
                  <c:v>Soap and shampoo</c:v>
                </c:pt>
                <c:pt idx="8">
                  <c:v>Praying oil</c:v>
                </c:pt>
                <c:pt idx="9">
                  <c:v>Dairy</c:v>
                </c:pt>
                <c:pt idx="10">
                  <c:v>Cleaning product</c:v>
                </c:pt>
                <c:pt idx="11">
                  <c:v>Car product</c:v>
                </c:pt>
              </c:strCache>
            </c:strRef>
          </c:cat>
          <c:val>
            <c:numRef>
              <c:f>'PET bot.'!$B$87:$B$98</c:f>
              <c:numCache>
                <c:formatCode>General</c:formatCode>
                <c:ptCount val="12"/>
                <c:pt idx="0">
                  <c:v>3334</c:v>
                </c:pt>
                <c:pt idx="1">
                  <c:v>1265</c:v>
                </c:pt>
                <c:pt idx="2">
                  <c:v>913</c:v>
                </c:pt>
                <c:pt idx="3">
                  <c:v>658</c:v>
                </c:pt>
                <c:pt idx="4">
                  <c:v>233</c:v>
                </c:pt>
                <c:pt idx="5">
                  <c:v>83</c:v>
                </c:pt>
                <c:pt idx="6">
                  <c:v>62</c:v>
                </c:pt>
                <c:pt idx="7">
                  <c:v>42</c:v>
                </c:pt>
                <c:pt idx="8">
                  <c:v>26</c:v>
                </c:pt>
                <c:pt idx="9">
                  <c:v>28</c:v>
                </c:pt>
                <c:pt idx="10">
                  <c:v>22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3B3-F649-BF13-D051AE0042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PET BOTTLES BY ORIGIN OF PRODUCTION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C5-A543-98C8-0379EFD8F5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C5-A543-98C8-0379EFD8F5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'PET bot.'!$A$106:$A$107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'PET bot.'!$B$106:$B$107</c:f>
              <c:numCache>
                <c:formatCode>General</c:formatCode>
                <c:ptCount val="2"/>
                <c:pt idx="0">
                  <c:v>5984</c:v>
                </c:pt>
                <c:pt idx="1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6C5-A543-98C8-0379EFD8F5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PET BOTTLES BY WM PROCESS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5D-0E4C-A03D-E721A870E1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'PET bot.'!$A$125</c:f>
              <c:strCache>
                <c:ptCount val="1"/>
                <c:pt idx="0">
                  <c:v>Downcycling</c:v>
                </c:pt>
              </c:strCache>
            </c:strRef>
          </c:cat>
          <c:val>
            <c:numRef>
              <c:f>'PET bot.'!$B$125</c:f>
              <c:numCache>
                <c:formatCode>General</c:formatCode>
                <c:ptCount val="1"/>
                <c:pt idx="0">
                  <c:v>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5D-0E4C-A03D-E721A870E1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NON-PET CONTAINERS </a:t>
            </a:r>
            <a:r>
              <a:rPr lang="en-US" b="1"/>
              <a:t>BY ORIGIN OF PRODUCTION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65-EF46-A171-78F4393FDB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65-EF46-A171-78F4393FDB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6A-C449-80BB-05CC147BD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'Non-PET'!$A$153:$A$155</c:f>
              <c:strCache>
                <c:ptCount val="3"/>
                <c:pt idx="0">
                  <c:v>Mongolia</c:v>
                </c:pt>
                <c:pt idx="1">
                  <c:v>Imported</c:v>
                </c:pt>
                <c:pt idx="2">
                  <c:v>Unidentified</c:v>
                </c:pt>
              </c:strCache>
            </c:strRef>
          </c:cat>
          <c:val>
            <c:numRef>
              <c:f>'Non-PET'!$B$153:$B$155</c:f>
              <c:numCache>
                <c:formatCode>General</c:formatCode>
                <c:ptCount val="3"/>
                <c:pt idx="0">
                  <c:v>257</c:v>
                </c:pt>
                <c:pt idx="1">
                  <c:v>416</c:v>
                </c:pt>
                <c:pt idx="2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65-EF46-A171-78F4393FDB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NON-PET CONTAINERS BY TYPE OF PLASTIC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47-8F4E-8424-92092C33CB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47-8F4E-8424-92092C33CB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006-7C43-94CD-DC1B49471D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006-7C43-94CD-DC1B49471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4A-BB4B-BBA6-846D260550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'Non-PET'!$A$197:$A$201</c:f>
              <c:strCache>
                <c:ptCount val="5"/>
                <c:pt idx="0">
                  <c:v>HDPE (2)</c:v>
                </c:pt>
                <c:pt idx="1">
                  <c:v>PP (5)</c:v>
                </c:pt>
                <c:pt idx="2">
                  <c:v>LDPE/HDPE</c:v>
                </c:pt>
                <c:pt idx="3">
                  <c:v>PS (6)</c:v>
                </c:pt>
                <c:pt idx="4">
                  <c:v>Unidentified (PET or PP or HDPE)</c:v>
                </c:pt>
              </c:strCache>
            </c:strRef>
          </c:cat>
          <c:val>
            <c:numRef>
              <c:f>'Non-PET'!$B$197:$B$201</c:f>
              <c:numCache>
                <c:formatCode>General</c:formatCode>
                <c:ptCount val="5"/>
                <c:pt idx="0">
                  <c:v>444</c:v>
                </c:pt>
                <c:pt idx="1">
                  <c:v>168</c:v>
                </c:pt>
                <c:pt idx="2">
                  <c:v>30</c:v>
                </c:pt>
                <c:pt idx="3">
                  <c:v>59</c:v>
                </c:pt>
                <c:pt idx="4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47-8F4E-8424-92092C33CB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NON-PET CONTAINERS </a:t>
            </a:r>
            <a:r>
              <a:rPr lang="en-US" b="1"/>
              <a:t>BY TYPE OF PRODUCT (WEIGHT)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62-7C4E-B947-13293B862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62-7C4E-B947-13293B862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62-7C4E-B947-13293B862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62-7C4E-B947-13293B8625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62-7C4E-B947-13293B8625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162-7C4E-B947-13293B8625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162-7C4E-B947-13293B8625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162-7C4E-B947-13293B8625B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162-7C4E-B947-13293B8625B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162-7C4E-B947-13293B8625B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162-7C4E-B947-13293B862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'Non-PET'!$A$132:$A$142</c:f>
              <c:strCache>
                <c:ptCount val="11"/>
                <c:pt idx="0">
                  <c:v>Other food</c:v>
                </c:pt>
                <c:pt idx="1">
                  <c:v>Dairy</c:v>
                </c:pt>
                <c:pt idx="2">
                  <c:v>Other items (non-packaging)</c:v>
                </c:pt>
                <c:pt idx="3">
                  <c:v>Car product</c:v>
                </c:pt>
                <c:pt idx="4">
                  <c:v>Cleaning product</c:v>
                </c:pt>
                <c:pt idx="5">
                  <c:v>Health and body care</c:v>
                </c:pt>
                <c:pt idx="6">
                  <c:v>Soap and shampoo</c:v>
                </c:pt>
                <c:pt idx="7">
                  <c:v>Other goods</c:v>
                </c:pt>
                <c:pt idx="8">
                  <c:v>Protective plastic</c:v>
                </c:pt>
                <c:pt idx="9">
                  <c:v>Veterinary product</c:v>
                </c:pt>
                <c:pt idx="10">
                  <c:v>Coffee and tea</c:v>
                </c:pt>
              </c:strCache>
            </c:strRef>
          </c:cat>
          <c:val>
            <c:numRef>
              <c:f>'Non-PET'!$D$132:$D$142</c:f>
              <c:numCache>
                <c:formatCode>0.0</c:formatCode>
                <c:ptCount val="11"/>
                <c:pt idx="0">
                  <c:v>7.0500000000000007</c:v>
                </c:pt>
                <c:pt idx="1">
                  <c:v>10.529999999999998</c:v>
                </c:pt>
                <c:pt idx="2">
                  <c:v>8.8000000000000007</c:v>
                </c:pt>
                <c:pt idx="3">
                  <c:v>12.059999999999997</c:v>
                </c:pt>
                <c:pt idx="4">
                  <c:v>4.5449999999999999</c:v>
                </c:pt>
                <c:pt idx="5">
                  <c:v>3.51</c:v>
                </c:pt>
                <c:pt idx="6">
                  <c:v>3.1550000000000007</c:v>
                </c:pt>
                <c:pt idx="7">
                  <c:v>1.44</c:v>
                </c:pt>
                <c:pt idx="8">
                  <c:v>2.1</c:v>
                </c:pt>
                <c:pt idx="9">
                  <c:v>0.495</c:v>
                </c:pt>
                <c:pt idx="10">
                  <c:v>0.255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2-7C4E-B947-13293B8625B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29791730579129"/>
          <c:y val="0.11582610997154767"/>
          <c:w val="0.27171506970719567"/>
          <c:h val="0.84435585257725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NON-PET CONTAINERS </a:t>
            </a:r>
            <a:r>
              <a:rPr lang="en-US" b="1"/>
              <a:t>BY TYPE OF PRODUCT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21-5C43-B3C3-A5AFA057C2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21-5C43-B3C3-A5AFA057C2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21-5C43-B3C3-A5AFA057C2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21-5C43-B3C3-A5AFA057C2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21-5C43-B3C3-A5AFA057C2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F21-5C43-B3C3-A5AFA057C2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F21-5C43-B3C3-A5AFA057C23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F21-5C43-B3C3-A5AFA057C23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F21-5C43-B3C3-A5AFA057C23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F21-5C43-B3C3-A5AFA057C23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F21-5C43-B3C3-A5AFA057C2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'Non-PET'!$A$132:$A$142</c:f>
              <c:strCache>
                <c:ptCount val="11"/>
                <c:pt idx="0">
                  <c:v>Other food</c:v>
                </c:pt>
                <c:pt idx="1">
                  <c:v>Dairy</c:v>
                </c:pt>
                <c:pt idx="2">
                  <c:v>Other items (non-packaging)</c:v>
                </c:pt>
                <c:pt idx="3">
                  <c:v>Car product</c:v>
                </c:pt>
                <c:pt idx="4">
                  <c:v>Cleaning product</c:v>
                </c:pt>
                <c:pt idx="5">
                  <c:v>Health and body care</c:v>
                </c:pt>
                <c:pt idx="6">
                  <c:v>Soap and shampoo</c:v>
                </c:pt>
                <c:pt idx="7">
                  <c:v>Other goods</c:v>
                </c:pt>
                <c:pt idx="8">
                  <c:v>Protective plastic</c:v>
                </c:pt>
                <c:pt idx="9">
                  <c:v>Veterinary product</c:v>
                </c:pt>
                <c:pt idx="10">
                  <c:v>Coffee and tea</c:v>
                </c:pt>
              </c:strCache>
            </c:strRef>
          </c:cat>
          <c:val>
            <c:numRef>
              <c:f>'Non-PET'!$B$132:$B$142</c:f>
              <c:numCache>
                <c:formatCode>General</c:formatCode>
                <c:ptCount val="11"/>
                <c:pt idx="0">
                  <c:v>359</c:v>
                </c:pt>
                <c:pt idx="1">
                  <c:v>228</c:v>
                </c:pt>
                <c:pt idx="2">
                  <c:v>110</c:v>
                </c:pt>
                <c:pt idx="3">
                  <c:v>108</c:v>
                </c:pt>
                <c:pt idx="4">
                  <c:v>78</c:v>
                </c:pt>
                <c:pt idx="5">
                  <c:v>66</c:v>
                </c:pt>
                <c:pt idx="6">
                  <c:v>59</c:v>
                </c:pt>
                <c:pt idx="7">
                  <c:v>48</c:v>
                </c:pt>
                <c:pt idx="8">
                  <c:v>28</c:v>
                </c:pt>
                <c:pt idx="9">
                  <c:v>9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F21-5C43-B3C3-A5AFA057C23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29791730579129"/>
          <c:y val="0.11582610997154767"/>
          <c:w val="0.27171506970719567"/>
          <c:h val="0.84435585257725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NON-PET CONTAINERS </a:t>
            </a:r>
            <a:r>
              <a:rPr lang="en-US" b="1"/>
              <a:t>BY ORIGIN OF PRODUCTION (WEIGHT)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B0-994B-84F4-3BC33F5167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B0-994B-84F4-3BC33F5167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B0-994B-84F4-3BC33F5167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'Non-PET'!$A$153:$A$155</c:f>
              <c:strCache>
                <c:ptCount val="3"/>
                <c:pt idx="0">
                  <c:v>Mongolia</c:v>
                </c:pt>
                <c:pt idx="1">
                  <c:v>Imported</c:v>
                </c:pt>
                <c:pt idx="2">
                  <c:v>Unidentified</c:v>
                </c:pt>
              </c:strCache>
            </c:strRef>
          </c:cat>
          <c:val>
            <c:numRef>
              <c:f>'Non-PET'!$D$153:$D$155</c:f>
              <c:numCache>
                <c:formatCode>0.0</c:formatCode>
                <c:ptCount val="3"/>
                <c:pt idx="0">
                  <c:v>12.359999999999992</c:v>
                </c:pt>
                <c:pt idx="1">
                  <c:v>26.839999999999979</c:v>
                </c:pt>
                <c:pt idx="2">
                  <c:v>14.74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B0-994B-84F4-3BC33F51679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COMPANY OF ORIGIN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34-DA45-AE10-49FEB4FB793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34-DA45-AE10-49FEB4FB793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34-DA45-AE10-49FEB4FB793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34-DA45-AE10-49FEB4FB7930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34-DA45-AE10-49FEB4FB7930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34-DA45-AE10-49FEB4FB7930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334-DA45-AE10-49FEB4FB79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OVERALL!$A$51:$A$57</c:f>
              <c:strCache>
                <c:ptCount val="7"/>
                <c:pt idx="0">
                  <c:v>APU</c:v>
                </c:pt>
                <c:pt idx="1">
                  <c:v>MCS</c:v>
                </c:pt>
                <c:pt idx="2">
                  <c:v>Vitafit</c:v>
                </c:pt>
                <c:pt idx="3">
                  <c:v>GEM</c:v>
                </c:pt>
                <c:pt idx="4">
                  <c:v>GN Beverages LLC</c:v>
                </c:pt>
                <c:pt idx="5">
                  <c:v>Khikh LLC</c:v>
                </c:pt>
                <c:pt idx="6">
                  <c:v>Others</c:v>
                </c:pt>
              </c:strCache>
            </c:strRef>
          </c:cat>
          <c:val>
            <c:numRef>
              <c:f>OVERALL!$B$51:$B$57</c:f>
              <c:numCache>
                <c:formatCode>#,##0</c:formatCode>
                <c:ptCount val="7"/>
                <c:pt idx="0">
                  <c:v>4503</c:v>
                </c:pt>
                <c:pt idx="1">
                  <c:v>2950</c:v>
                </c:pt>
                <c:pt idx="2">
                  <c:v>1433</c:v>
                </c:pt>
                <c:pt idx="3">
                  <c:v>499</c:v>
                </c:pt>
                <c:pt idx="4">
                  <c:v>263</c:v>
                </c:pt>
                <c:pt idx="5">
                  <c:v>308</c:v>
                </c:pt>
                <c:pt idx="6">
                  <c:v>10091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334-DA45-AE10-49FEB4FB793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NON-PET CONTAINERS </a:t>
            </a:r>
            <a:r>
              <a:rPr lang="en-US" b="1"/>
              <a:t>BY WM PROCESS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06-D54E-A2FF-AACE292D5E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06-D54E-A2FF-AACE292D5E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'Non-PET'!$A$175:$A$176</c:f>
              <c:strCache>
                <c:ptCount val="2"/>
                <c:pt idx="0">
                  <c:v>Downcycling</c:v>
                </c:pt>
                <c:pt idx="1">
                  <c:v>Landfill</c:v>
                </c:pt>
              </c:strCache>
            </c:strRef>
          </c:cat>
          <c:val>
            <c:numRef>
              <c:f>'Non-PET'!$B$175:$B$176</c:f>
              <c:numCache>
                <c:formatCode>General</c:formatCode>
                <c:ptCount val="2"/>
                <c:pt idx="0">
                  <c:v>958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06-D54E-A2FF-AACE292D5E6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NON-PET CONTAINERS </a:t>
            </a:r>
            <a:r>
              <a:rPr lang="en-US" b="1"/>
              <a:t>BY WM PROCESS (WEIGHT)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77-9540-8F49-BFCEF1DE86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77-9540-8F49-BFCEF1DE86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'Non-PET'!$A$175:$A$176</c:f>
              <c:strCache>
                <c:ptCount val="2"/>
                <c:pt idx="0">
                  <c:v>Downcycling</c:v>
                </c:pt>
                <c:pt idx="1">
                  <c:v>Landfill</c:v>
                </c:pt>
              </c:strCache>
            </c:strRef>
          </c:cat>
          <c:val>
            <c:numRef>
              <c:f>'Non-PET'!$D$175:$D$176</c:f>
              <c:numCache>
                <c:formatCode>0.0</c:formatCode>
                <c:ptCount val="2"/>
                <c:pt idx="0">
                  <c:v>44.82999999999997</c:v>
                </c:pt>
                <c:pt idx="1">
                  <c:v>9.1100000000000012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77-9540-8F49-BFCEF1DE86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NON-PET CONTAINERS BY TYPE OF PLASTIC (WEIGHT)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76-4544-B874-76786CF957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76-4544-B874-76786CF957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76-4544-B874-76786CF957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76-4544-B874-76786CF957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E76-4544-B874-76786CF957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'Non-PET'!$A$197:$A$201</c:f>
              <c:strCache>
                <c:ptCount val="5"/>
                <c:pt idx="0">
                  <c:v>HDPE (2)</c:v>
                </c:pt>
                <c:pt idx="1">
                  <c:v>PP (5)</c:v>
                </c:pt>
                <c:pt idx="2">
                  <c:v>LDPE/HDPE</c:v>
                </c:pt>
                <c:pt idx="3">
                  <c:v>PS (6)</c:v>
                </c:pt>
                <c:pt idx="4">
                  <c:v>Unidentified (PET or PP or HDPE)</c:v>
                </c:pt>
              </c:strCache>
            </c:strRef>
          </c:cat>
          <c:val>
            <c:numRef>
              <c:f>'Non-PET'!$D$197:$D$201</c:f>
              <c:numCache>
                <c:formatCode>0.0</c:formatCode>
                <c:ptCount val="5"/>
                <c:pt idx="0">
                  <c:v>30.989999999999988</c:v>
                </c:pt>
                <c:pt idx="1">
                  <c:v>6.1000000000000023</c:v>
                </c:pt>
                <c:pt idx="2">
                  <c:v>1.8</c:v>
                </c:pt>
                <c:pt idx="3">
                  <c:v>2.41</c:v>
                </c:pt>
                <c:pt idx="4">
                  <c:v>12.64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76-4544-B874-76786CF9577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sz="1400" b="1" i="0" baseline="0">
                <a:effectLst/>
              </a:rPr>
              <a:t> OF NON-PET CONTAINERS BY COMPANY OF ORIGIN (NUMBER)</a:t>
            </a:r>
            <a:endParaRPr lang="fr-F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77-CE4F-A702-E28618BF1C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77-CE4F-A702-E28618BF1C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77-CE4F-A702-E28618BF1C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77-CE4F-A702-E28618BF1C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977-CE4F-A702-E28618BF1CC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977-CE4F-A702-E28618BF1CC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977-CE4F-A702-E28618BF1CC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977-CE4F-A702-E28618BF1CC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977-CE4F-A702-E28618BF1CC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977-CE4F-A702-E28618BF1CC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977-CE4F-A702-E28618BF1CC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0F2-FC45-9ACB-B54348BB323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0F2-FC45-9ACB-B54348BB323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0F2-FC45-9ACB-B54348BB323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0F2-FC45-9ACB-B54348BB32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'Non-PET'!$A$108:$A$122</c:f>
              <c:strCache>
                <c:ptCount val="15"/>
                <c:pt idx="0">
                  <c:v>Vitafit</c:v>
                </c:pt>
                <c:pt idx="1">
                  <c:v>Mobil oil imported by Petrovis</c:v>
                </c:pt>
                <c:pt idx="2">
                  <c:v>Spedstvo Belizha importer</c:v>
                </c:pt>
                <c:pt idx="3">
                  <c:v>Amway importer</c:v>
                </c:pt>
                <c:pt idx="4">
                  <c:v>Tavan Bogd Group</c:v>
                </c:pt>
                <c:pt idx="5">
                  <c:v>Sibiria importer</c:v>
                </c:pt>
                <c:pt idx="6">
                  <c:v>Teso</c:v>
                </c:pt>
                <c:pt idx="7">
                  <c:v>Dalai khuch LLC</c:v>
                </c:pt>
                <c:pt idx="8">
                  <c:v>Monos Group LLC</c:v>
                </c:pt>
                <c:pt idx="9">
                  <c:v>Sod Mongol Group</c:v>
                </c:pt>
                <c:pt idx="10">
                  <c:v>Suu LLC</c:v>
                </c:pt>
                <c:pt idx="11">
                  <c:v>Akuma</c:v>
                </c:pt>
                <c:pt idx="12">
                  <c:v>Montuul Servis LLC</c:v>
                </c:pt>
                <c:pt idx="13">
                  <c:v>Tsakhiur Tumur</c:v>
                </c:pt>
                <c:pt idx="14">
                  <c:v>Others / unidentified</c:v>
                </c:pt>
              </c:strCache>
            </c:strRef>
          </c:cat>
          <c:val>
            <c:numRef>
              <c:f>'Non-PET'!$B$108:$B$122</c:f>
              <c:numCache>
                <c:formatCode>General</c:formatCode>
                <c:ptCount val="15"/>
                <c:pt idx="0">
                  <c:v>163</c:v>
                </c:pt>
                <c:pt idx="1">
                  <c:v>32</c:v>
                </c:pt>
                <c:pt idx="2">
                  <c:v>30</c:v>
                </c:pt>
                <c:pt idx="3">
                  <c:v>27</c:v>
                </c:pt>
                <c:pt idx="4">
                  <c:v>24</c:v>
                </c:pt>
                <c:pt idx="5">
                  <c:v>21</c:v>
                </c:pt>
                <c:pt idx="6">
                  <c:v>20</c:v>
                </c:pt>
                <c:pt idx="7">
                  <c:v>17</c:v>
                </c:pt>
                <c:pt idx="8">
                  <c:v>16</c:v>
                </c:pt>
                <c:pt idx="9">
                  <c:v>16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11</c:v>
                </c:pt>
                <c:pt idx="14" formatCode="#,##0">
                  <c:v>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977-CE4F-A702-E28618BF1C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29791730579129"/>
          <c:y val="7.9556729631593978E-2"/>
          <c:w val="0.27171506970719567"/>
          <c:h val="0.92044327036840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sz="1400" b="1" i="0" baseline="0">
                <a:effectLst/>
              </a:rPr>
              <a:t> OF NON-PET CONTAINERS BY COMPANY OF ORIGIN (WEIGHT)</a:t>
            </a:r>
            <a:endParaRPr lang="fr-F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4D-4947-9C1B-7852A22ECE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4D-4947-9C1B-7852A22ECE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4D-4947-9C1B-7852A22ECE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4D-4947-9C1B-7852A22ECE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4D-4947-9C1B-7852A22ECE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4D-4947-9C1B-7852A22ECE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64D-4947-9C1B-7852A22ECE2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64D-4947-9C1B-7852A22ECE2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64D-4947-9C1B-7852A22ECE2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64D-4947-9C1B-7852A22ECE2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64D-4947-9C1B-7852A22ECE2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64D-4947-9C1B-7852A22ECE2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64D-4947-9C1B-7852A22ECE2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64D-4947-9C1B-7852A22ECE2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64D-4947-9C1B-7852A22ECE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'Non-PET'!$A$108:$A$122</c:f>
              <c:strCache>
                <c:ptCount val="15"/>
                <c:pt idx="0">
                  <c:v>Vitafit</c:v>
                </c:pt>
                <c:pt idx="1">
                  <c:v>Mobil oil imported by Petrovis</c:v>
                </c:pt>
                <c:pt idx="2">
                  <c:v>Spedstvo Belizha importer</c:v>
                </c:pt>
                <c:pt idx="3">
                  <c:v>Amway importer</c:v>
                </c:pt>
                <c:pt idx="4">
                  <c:v>Tavan Bogd Group</c:v>
                </c:pt>
                <c:pt idx="5">
                  <c:v>Sibiria importer</c:v>
                </c:pt>
                <c:pt idx="6">
                  <c:v>Teso</c:v>
                </c:pt>
                <c:pt idx="7">
                  <c:v>Dalai khuch LLC</c:v>
                </c:pt>
                <c:pt idx="8">
                  <c:v>Monos Group LLC</c:v>
                </c:pt>
                <c:pt idx="9">
                  <c:v>Sod Mongol Group</c:v>
                </c:pt>
                <c:pt idx="10">
                  <c:v>Suu LLC</c:v>
                </c:pt>
                <c:pt idx="11">
                  <c:v>Akuma</c:v>
                </c:pt>
                <c:pt idx="12">
                  <c:v>Montuul Servis LLC</c:v>
                </c:pt>
                <c:pt idx="13">
                  <c:v>Tsakhiur Tumur</c:v>
                </c:pt>
                <c:pt idx="14">
                  <c:v>Others / unidentified</c:v>
                </c:pt>
              </c:strCache>
            </c:strRef>
          </c:cat>
          <c:val>
            <c:numRef>
              <c:f>'Non-PET'!$D$108:$D$122</c:f>
              <c:numCache>
                <c:formatCode>0.0</c:formatCode>
                <c:ptCount val="15"/>
                <c:pt idx="0">
                  <c:v>8.4249999999999989</c:v>
                </c:pt>
                <c:pt idx="1">
                  <c:v>3.84</c:v>
                </c:pt>
                <c:pt idx="2">
                  <c:v>1.8</c:v>
                </c:pt>
                <c:pt idx="3">
                  <c:v>1.4850000000000001</c:v>
                </c:pt>
                <c:pt idx="4">
                  <c:v>1.3199999999999998</c:v>
                </c:pt>
                <c:pt idx="5">
                  <c:v>2.1</c:v>
                </c:pt>
                <c:pt idx="6">
                  <c:v>0.18</c:v>
                </c:pt>
                <c:pt idx="7">
                  <c:v>0.98</c:v>
                </c:pt>
                <c:pt idx="8">
                  <c:v>0.88</c:v>
                </c:pt>
                <c:pt idx="9">
                  <c:v>1.92</c:v>
                </c:pt>
                <c:pt idx="10">
                  <c:v>0.52</c:v>
                </c:pt>
                <c:pt idx="11">
                  <c:v>1.56</c:v>
                </c:pt>
                <c:pt idx="12">
                  <c:v>0.69</c:v>
                </c:pt>
                <c:pt idx="13">
                  <c:v>0.60499999999999998</c:v>
                </c:pt>
                <c:pt idx="14" formatCode="#,##0">
                  <c:v>27.635000000000005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64D-4947-9C1B-7852A22ECE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29791730579129"/>
          <c:y val="7.9556729631593978E-2"/>
          <c:w val="0.27171506970719567"/>
          <c:h val="0.92044327036840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PLASTIC BAGS AND WRAPPING </a:t>
            </a:r>
            <a:r>
              <a:rPr lang="en-US" b="1"/>
              <a:t>BY ORIGIN OF PRODUCTION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44-2E44-86B8-CA712B3A29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44-2E44-86B8-CA712B3A29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44-2E44-86B8-CA712B3A29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'Plastic bags'!$A$173:$A$175</c:f>
              <c:strCache>
                <c:ptCount val="3"/>
                <c:pt idx="0">
                  <c:v>Mongolia</c:v>
                </c:pt>
                <c:pt idx="1">
                  <c:v>Imported</c:v>
                </c:pt>
                <c:pt idx="2">
                  <c:v>Unidentified</c:v>
                </c:pt>
              </c:strCache>
            </c:strRef>
          </c:cat>
          <c:val>
            <c:numRef>
              <c:f>'Plastic bags'!$B$173:$B$175</c:f>
              <c:numCache>
                <c:formatCode>General</c:formatCode>
                <c:ptCount val="3"/>
                <c:pt idx="0">
                  <c:v>743</c:v>
                </c:pt>
                <c:pt idx="1">
                  <c:v>2009</c:v>
                </c:pt>
                <c:pt idx="2">
                  <c:v>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44-2E44-86B8-CA712B3A29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PLASTIC BAGS AND WRAPPING </a:t>
            </a:r>
            <a:r>
              <a:rPr lang="en-US" b="1"/>
              <a:t>BY TYPE OF PLASTIC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F7-474C-824F-57A0EA1CA2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F7-474C-824F-57A0EA1CA2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F7-474C-824F-57A0EA1CA2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'Plastic bags'!$A$216:$A$218</c:f>
              <c:strCache>
                <c:ptCount val="3"/>
                <c:pt idx="0">
                  <c:v>LDPE (4)</c:v>
                </c:pt>
                <c:pt idx="1">
                  <c:v>PP (5) or LDPE (4)</c:v>
                </c:pt>
                <c:pt idx="2">
                  <c:v>Multi-layer</c:v>
                </c:pt>
              </c:strCache>
            </c:strRef>
          </c:cat>
          <c:val>
            <c:numRef>
              <c:f>'Plastic bags'!$B$216:$B$218</c:f>
              <c:numCache>
                <c:formatCode>General</c:formatCode>
                <c:ptCount val="3"/>
                <c:pt idx="0">
                  <c:v>3037</c:v>
                </c:pt>
                <c:pt idx="1">
                  <c:v>1698</c:v>
                </c:pt>
                <c:pt idx="2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F7-474C-824F-57A0EA1CA2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</a:t>
            </a:r>
            <a:r>
              <a:rPr lang="en-US" sz="1400" b="1" i="0" u="none" strike="noStrike" baseline="0">
                <a:effectLst/>
              </a:rPr>
              <a:t>PLASTIC BAGS AND WRAPPING </a:t>
            </a:r>
            <a:r>
              <a:rPr lang="en-US" b="1" baseline="0"/>
              <a:t>BY COMPANY OF ORIGIN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BC-AC43-8A85-2611E61AE7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BC-AC43-8A85-2611E61AE7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BC-AC43-8A85-2611E61AE7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BC-AC43-8A85-2611E61AE7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BC-AC43-8A85-2611E61AE7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2BC-AC43-8A85-2611E61AE7F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2BC-AC43-8A85-2611E61AE7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2BC-AC43-8A85-2611E61AE7F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2BC-AC43-8A85-2611E61AE7F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2BC-AC43-8A85-2611E61AE7F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2BC-AC43-8A85-2611E61AE7F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2BC-AC43-8A85-2611E61AE7F8}"/>
              </c:ext>
            </c:extLst>
          </c:dPt>
          <c:dPt>
            <c:idx val="12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904-C042-91E8-D413F64E3F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'Plastic bags'!$A$130:$A$142</c:f>
              <c:strCache>
                <c:ptCount val="13"/>
                <c:pt idx="0">
                  <c:v>Teso</c:v>
                </c:pt>
                <c:pt idx="1">
                  <c:v>M International Mongolia</c:v>
                </c:pt>
                <c:pt idx="2">
                  <c:v>Nomin Foods LLC</c:v>
                </c:pt>
                <c:pt idx="3">
                  <c:v>Maksimus Distribution LLC</c:v>
                </c:pt>
                <c:pt idx="4">
                  <c:v>Bayasakh Hulij LLC</c:v>
                </c:pt>
                <c:pt idx="5">
                  <c:v>Talkh Chikher XK</c:v>
                </c:pt>
                <c:pt idx="6">
                  <c:v>Ögööj Chikher Boov LLC</c:v>
                </c:pt>
                <c:pt idx="7">
                  <c:v>CBH Care LLC</c:v>
                </c:pt>
                <c:pt idx="8">
                  <c:v>Gut &amp; Günstig importer</c:v>
                </c:pt>
                <c:pt idx="9">
                  <c:v>Rotfront importer</c:v>
                </c:pt>
                <c:pt idx="10">
                  <c:v>Monos Group LLC</c:v>
                </c:pt>
                <c:pt idx="11">
                  <c:v>Bosa Holding LLC</c:v>
                </c:pt>
                <c:pt idx="12">
                  <c:v>Others / unidentified</c:v>
                </c:pt>
              </c:strCache>
            </c:strRef>
          </c:cat>
          <c:val>
            <c:numRef>
              <c:f>'Plastic bags'!$B$130:$B$142</c:f>
              <c:numCache>
                <c:formatCode>General</c:formatCode>
                <c:ptCount val="13"/>
                <c:pt idx="0">
                  <c:v>149</c:v>
                </c:pt>
                <c:pt idx="1">
                  <c:v>149</c:v>
                </c:pt>
                <c:pt idx="2">
                  <c:v>77</c:v>
                </c:pt>
                <c:pt idx="3">
                  <c:v>64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46</c:v>
                </c:pt>
                <c:pt idx="8">
                  <c:v>45</c:v>
                </c:pt>
                <c:pt idx="9">
                  <c:v>45</c:v>
                </c:pt>
                <c:pt idx="10">
                  <c:v>43</c:v>
                </c:pt>
                <c:pt idx="11">
                  <c:v>40</c:v>
                </c:pt>
                <c:pt idx="12">
                  <c:v>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2BC-AC43-8A85-2611E61AE7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PLASTIC BAGS AND WRAPPING </a:t>
            </a:r>
            <a:r>
              <a:rPr lang="en-US" b="1"/>
              <a:t>BY TYPE OF PRODUCT (WEIGHT)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F0-4042-847C-44FD4BB612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F0-4042-847C-44FD4BB612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F0-4042-847C-44FD4BB612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F0-4042-847C-44FD4BB612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F0-4042-847C-44FD4BB612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6F0-4042-847C-44FD4BB612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6F0-4042-847C-44FD4BB612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6F0-4042-847C-44FD4BB612C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6F0-4042-847C-44FD4BB612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6F0-4042-847C-44FD4BB612C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6F0-4042-847C-44FD4BB612C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ACD-D24B-8B60-D76FA22C405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ACD-D24B-8B60-D76FA22C40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'Plastic bags'!$A$153:$A$165</c:f>
              <c:strCache>
                <c:ptCount val="13"/>
                <c:pt idx="0">
                  <c:v>Wholesales wrapping</c:v>
                </c:pt>
                <c:pt idx="1">
                  <c:v>Other food</c:v>
                </c:pt>
                <c:pt idx="2">
                  <c:v>Grocery and vegetable bags</c:v>
                </c:pt>
                <c:pt idx="3">
                  <c:v>Candy</c:v>
                </c:pt>
                <c:pt idx="4">
                  <c:v>Other plastic bags and wrapping</c:v>
                </c:pt>
                <c:pt idx="5">
                  <c:v>Health and body care</c:v>
                </c:pt>
                <c:pt idx="6">
                  <c:v>Coffee and tea</c:v>
                </c:pt>
                <c:pt idx="7">
                  <c:v>Cleaning product</c:v>
                </c:pt>
                <c:pt idx="8">
                  <c:v>Protective plastic</c:v>
                </c:pt>
                <c:pt idx="9">
                  <c:v>Juice</c:v>
                </c:pt>
                <c:pt idx="10">
                  <c:v>Soap and shampoo</c:v>
                </c:pt>
                <c:pt idx="11">
                  <c:v>Dairy</c:v>
                </c:pt>
                <c:pt idx="12">
                  <c:v>Car product</c:v>
                </c:pt>
              </c:strCache>
            </c:strRef>
          </c:cat>
          <c:val>
            <c:numRef>
              <c:f>'Plastic bags'!$D$153:$D$165</c:f>
              <c:numCache>
                <c:formatCode>0.0</c:formatCode>
                <c:ptCount val="13"/>
                <c:pt idx="0">
                  <c:v>82.11</c:v>
                </c:pt>
                <c:pt idx="1">
                  <c:v>58.436499999999988</c:v>
                </c:pt>
                <c:pt idx="2">
                  <c:v>2.8149999999999999</c:v>
                </c:pt>
                <c:pt idx="3">
                  <c:v>1.7729999999999999</c:v>
                </c:pt>
                <c:pt idx="4">
                  <c:v>4.4744999999999999</c:v>
                </c:pt>
                <c:pt idx="5">
                  <c:v>11.278500000000001</c:v>
                </c:pt>
                <c:pt idx="6">
                  <c:v>7.847500000000001</c:v>
                </c:pt>
                <c:pt idx="7">
                  <c:v>1.9344999999999999</c:v>
                </c:pt>
                <c:pt idx="8">
                  <c:v>1.36</c:v>
                </c:pt>
                <c:pt idx="9">
                  <c:v>0.58399999999999996</c:v>
                </c:pt>
                <c:pt idx="10">
                  <c:v>0.438</c:v>
                </c:pt>
                <c:pt idx="11">
                  <c:v>0.438</c:v>
                </c:pt>
                <c:pt idx="12">
                  <c:v>0.32850000000000001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6F0-4042-847C-44FD4BB612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29791730579129"/>
          <c:y val="0.11582610997154767"/>
          <c:w val="0.27171506970719567"/>
          <c:h val="0.84435585257725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PLASTIC BAGS AND WRAPPING </a:t>
            </a:r>
            <a:r>
              <a:rPr lang="en-US" b="1"/>
              <a:t>BY TYPE OF PRODUCT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F7-2E44-B4C3-84B07A4C90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F7-2E44-B4C3-84B07A4C90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F7-2E44-B4C3-84B07A4C90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F7-2E44-B4C3-84B07A4C90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F7-2E44-B4C3-84B07A4C90D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2F7-2E44-B4C3-84B07A4C90D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2F7-2E44-B4C3-84B07A4C90D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2F7-2E44-B4C3-84B07A4C90D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2F7-2E44-B4C3-84B07A4C90D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2F7-2E44-B4C3-84B07A4C90D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2F7-2E44-B4C3-84B07A4C90D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2D8-FC40-AAAF-D9576E449D3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2D8-FC40-AAAF-D9576E449D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'Plastic bags'!$A$153:$A$165</c:f>
              <c:strCache>
                <c:ptCount val="13"/>
                <c:pt idx="0">
                  <c:v>Wholesales wrapping</c:v>
                </c:pt>
                <c:pt idx="1">
                  <c:v>Other food</c:v>
                </c:pt>
                <c:pt idx="2">
                  <c:v>Grocery and vegetable bags</c:v>
                </c:pt>
                <c:pt idx="3">
                  <c:v>Candy</c:v>
                </c:pt>
                <c:pt idx="4">
                  <c:v>Other plastic bags and wrapping</c:v>
                </c:pt>
                <c:pt idx="5">
                  <c:v>Health and body care</c:v>
                </c:pt>
                <c:pt idx="6">
                  <c:v>Coffee and tea</c:v>
                </c:pt>
                <c:pt idx="7">
                  <c:v>Cleaning product</c:v>
                </c:pt>
                <c:pt idx="8">
                  <c:v>Protective plastic</c:v>
                </c:pt>
                <c:pt idx="9">
                  <c:v>Juice</c:v>
                </c:pt>
                <c:pt idx="10">
                  <c:v>Soap and shampoo</c:v>
                </c:pt>
                <c:pt idx="11">
                  <c:v>Dairy</c:v>
                </c:pt>
                <c:pt idx="12">
                  <c:v>Car product</c:v>
                </c:pt>
              </c:strCache>
            </c:strRef>
          </c:cat>
          <c:val>
            <c:numRef>
              <c:f>'Plastic bags'!$B$153:$B$165</c:f>
              <c:numCache>
                <c:formatCode>General</c:formatCode>
                <c:ptCount val="13"/>
                <c:pt idx="0">
                  <c:v>1955</c:v>
                </c:pt>
                <c:pt idx="1">
                  <c:v>1601</c:v>
                </c:pt>
                <c:pt idx="2">
                  <c:v>563</c:v>
                </c:pt>
                <c:pt idx="3">
                  <c:v>522</c:v>
                </c:pt>
                <c:pt idx="4">
                  <c:v>488</c:v>
                </c:pt>
                <c:pt idx="5">
                  <c:v>309</c:v>
                </c:pt>
                <c:pt idx="6">
                  <c:v>215</c:v>
                </c:pt>
                <c:pt idx="7">
                  <c:v>53</c:v>
                </c:pt>
                <c:pt idx="8">
                  <c:v>34</c:v>
                </c:pt>
                <c:pt idx="9">
                  <c:v>16</c:v>
                </c:pt>
                <c:pt idx="10">
                  <c:v>12</c:v>
                </c:pt>
                <c:pt idx="11">
                  <c:v>12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2F7-2E44-B4C3-84B07A4C90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29791730579129"/>
          <c:y val="0.11582610997154767"/>
          <c:w val="0.27171506970719567"/>
          <c:h val="0.84435585257725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COMPANY OF ORIGIN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EE-2142-AB63-04110CA8308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EE-2142-AB63-04110CA8308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EE-2142-AB63-04110CA8308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DEE-2142-AB63-04110CA83087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DEE-2142-AB63-04110CA83087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DEE-2142-AB63-04110CA83087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DEE-2142-AB63-04110CA830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OVERALL!$A$51:$A$57</c:f>
              <c:strCache>
                <c:ptCount val="7"/>
                <c:pt idx="0">
                  <c:v>APU</c:v>
                </c:pt>
                <c:pt idx="1">
                  <c:v>MCS</c:v>
                </c:pt>
                <c:pt idx="2">
                  <c:v>Vitafit</c:v>
                </c:pt>
                <c:pt idx="3">
                  <c:v>GEM</c:v>
                </c:pt>
                <c:pt idx="4">
                  <c:v>GN Beverages LLC</c:v>
                </c:pt>
                <c:pt idx="5">
                  <c:v>Khikh LLC</c:v>
                </c:pt>
                <c:pt idx="6">
                  <c:v>Others</c:v>
                </c:pt>
              </c:strCache>
            </c:strRef>
          </c:cat>
          <c:val>
            <c:numRef>
              <c:f>OVERALL!$D$51:$D$57</c:f>
              <c:numCache>
                <c:formatCode>#,##0</c:formatCode>
                <c:ptCount val="7"/>
                <c:pt idx="0">
                  <c:v>982.94800000000043</c:v>
                </c:pt>
                <c:pt idx="1">
                  <c:v>117.14299999999997</c:v>
                </c:pt>
                <c:pt idx="2">
                  <c:v>59.224999999999994</c:v>
                </c:pt>
                <c:pt idx="3">
                  <c:v>266.81</c:v>
                </c:pt>
                <c:pt idx="4">
                  <c:v>10.445</c:v>
                </c:pt>
                <c:pt idx="5">
                  <c:v>40.963999999999999</c:v>
                </c:pt>
                <c:pt idx="6">
                  <c:v>661.96700000000033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EE-2142-AB63-04110CA830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PLASTIC BAGS AND WRAPPING </a:t>
            </a:r>
            <a:r>
              <a:rPr lang="en-US" b="1"/>
              <a:t>BY ORIGIN OF PRODUCTION (WEIGHT)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A8-054D-AB7B-3B7119B3AA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A8-054D-AB7B-3B7119B3AA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A8-054D-AB7B-3B7119B3AA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'Plastic bags'!$A$173:$A$175</c:f>
              <c:strCache>
                <c:ptCount val="3"/>
                <c:pt idx="0">
                  <c:v>Mongolia</c:v>
                </c:pt>
                <c:pt idx="1">
                  <c:v>Imported</c:v>
                </c:pt>
                <c:pt idx="2">
                  <c:v>Unidentified</c:v>
                </c:pt>
              </c:strCache>
            </c:strRef>
          </c:cat>
          <c:val>
            <c:numRef>
              <c:f>'Plastic bags'!$D$173:$D$175</c:f>
              <c:numCache>
                <c:formatCode>0.0</c:formatCode>
                <c:ptCount val="3"/>
                <c:pt idx="0">
                  <c:v>27.11950000000002</c:v>
                </c:pt>
                <c:pt idx="1">
                  <c:v>56.048500000000011</c:v>
                </c:pt>
                <c:pt idx="2">
                  <c:v>90.649999999999991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A8-054D-AB7B-3B7119B3AA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PLASTIC BAGS AND WRAPPING </a:t>
            </a:r>
            <a:r>
              <a:rPr lang="en-US" b="1"/>
              <a:t>BY WM PROCESS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2E-604C-A242-0FCDBCB199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2E-604C-A242-0FCDBCB199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'Plastic bags'!$A$195:$A$196</c:f>
              <c:strCache>
                <c:ptCount val="2"/>
                <c:pt idx="0">
                  <c:v>Downcycling</c:v>
                </c:pt>
                <c:pt idx="1">
                  <c:v>Landfill</c:v>
                </c:pt>
              </c:strCache>
            </c:strRef>
          </c:cat>
          <c:val>
            <c:numRef>
              <c:f>'Plastic bags'!$B$195:$B$196</c:f>
              <c:numCache>
                <c:formatCode>General</c:formatCode>
                <c:ptCount val="2"/>
                <c:pt idx="0">
                  <c:v>5296</c:v>
                </c:pt>
                <c:pt idx="1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2E-604C-A242-0FCDBCB199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PLASTIC BAGS AND WRAPPING </a:t>
            </a:r>
            <a:r>
              <a:rPr lang="en-US" b="1"/>
              <a:t>BY WM PROCESS (WEIGHT)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8A-4A45-86B3-0D26D8B795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8A-4A45-86B3-0D26D8B795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'Plastic bags'!$A$195:$A$196</c:f>
              <c:strCache>
                <c:ptCount val="2"/>
                <c:pt idx="0">
                  <c:v>Downcycling</c:v>
                </c:pt>
                <c:pt idx="1">
                  <c:v>Landfill</c:v>
                </c:pt>
              </c:strCache>
            </c:strRef>
          </c:cat>
          <c:val>
            <c:numRef>
              <c:f>'Plastic bags'!$D$195:$D$196</c:f>
              <c:numCache>
                <c:formatCode>0.0</c:formatCode>
                <c:ptCount val="2"/>
                <c:pt idx="0">
                  <c:v>155.82349999999983</c:v>
                </c:pt>
                <c:pt idx="1">
                  <c:v>17.994499999999999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8A-4A45-86B3-0D26D8B7959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PLASTIC BAGS AND WRAPPING </a:t>
            </a:r>
            <a:r>
              <a:rPr lang="en-US" b="1"/>
              <a:t>BY TYPE OF PLASTIC (WEIGHT)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5A-CA46-A317-9CA932C3C5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5A-CA46-A317-9CA932C3C5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5A-CA46-A317-9CA932C3C5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'Plastic bags'!$A$216:$A$218</c:f>
              <c:strCache>
                <c:ptCount val="3"/>
                <c:pt idx="0">
                  <c:v>LDPE (4)</c:v>
                </c:pt>
                <c:pt idx="1">
                  <c:v>PP (5) or LDPE (4)</c:v>
                </c:pt>
                <c:pt idx="2">
                  <c:v>Multi-layer</c:v>
                </c:pt>
              </c:strCache>
            </c:strRef>
          </c:cat>
          <c:val>
            <c:numRef>
              <c:f>'Plastic bags'!$D$216:$D$218</c:f>
              <c:numCache>
                <c:formatCode>0.0</c:formatCode>
                <c:ptCount val="3"/>
                <c:pt idx="0">
                  <c:v>90.649999999999991</c:v>
                </c:pt>
                <c:pt idx="1">
                  <c:v>44.697000000000024</c:v>
                </c:pt>
                <c:pt idx="2">
                  <c:v>38.471000000000018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5A-CA46-A317-9CA932C3C5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</a:t>
            </a:r>
            <a:r>
              <a:rPr lang="en-US" sz="1400" b="1" i="0" u="none" strike="noStrike" baseline="0">
                <a:effectLst/>
              </a:rPr>
              <a:t>PLASTIC BAGS AND WRAPPING </a:t>
            </a:r>
            <a:r>
              <a:rPr lang="en-US" b="1" baseline="0"/>
              <a:t>BY COMPANY OF ORIGIN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25-3E4F-9069-0F59D1E507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25-3E4F-9069-0F59D1E507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25-3E4F-9069-0F59D1E507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25-3E4F-9069-0F59D1E507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25-3E4F-9069-0F59D1E5076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025-3E4F-9069-0F59D1E5076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025-3E4F-9069-0F59D1E5076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025-3E4F-9069-0F59D1E5076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025-3E4F-9069-0F59D1E5076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025-3E4F-9069-0F59D1E5076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025-3E4F-9069-0F59D1E5076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025-3E4F-9069-0F59D1E50769}"/>
              </c:ext>
            </c:extLst>
          </c:dPt>
          <c:dPt>
            <c:idx val="12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78B-8E4E-AA7A-5B270BC221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'Plastic bags'!$A$130:$A$142</c:f>
              <c:strCache>
                <c:ptCount val="13"/>
                <c:pt idx="0">
                  <c:v>Teso</c:v>
                </c:pt>
                <c:pt idx="1">
                  <c:v>M International Mongolia</c:v>
                </c:pt>
                <c:pt idx="2">
                  <c:v>Nomin Foods LLC</c:v>
                </c:pt>
                <c:pt idx="3">
                  <c:v>Maksimus Distribution LLC</c:v>
                </c:pt>
                <c:pt idx="4">
                  <c:v>Bayasakh Hulij LLC</c:v>
                </c:pt>
                <c:pt idx="5">
                  <c:v>Talkh Chikher XK</c:v>
                </c:pt>
                <c:pt idx="6">
                  <c:v>Ögööj Chikher Boov LLC</c:v>
                </c:pt>
                <c:pt idx="7">
                  <c:v>CBH Care LLC</c:v>
                </c:pt>
                <c:pt idx="8">
                  <c:v>Gut &amp; Günstig importer</c:v>
                </c:pt>
                <c:pt idx="9">
                  <c:v>Rotfront importer</c:v>
                </c:pt>
                <c:pt idx="10">
                  <c:v>Monos Group LLC</c:v>
                </c:pt>
                <c:pt idx="11">
                  <c:v>Bosa Holding LLC</c:v>
                </c:pt>
                <c:pt idx="12">
                  <c:v>Others / unidentified</c:v>
                </c:pt>
              </c:strCache>
            </c:strRef>
          </c:cat>
          <c:val>
            <c:numRef>
              <c:f>'Plastic bags'!$D$130:$D$142</c:f>
              <c:numCache>
                <c:formatCode>0.0</c:formatCode>
                <c:ptCount val="13"/>
                <c:pt idx="0">
                  <c:v>5.4385000000000003</c:v>
                </c:pt>
                <c:pt idx="1">
                  <c:v>5.4385000000000003</c:v>
                </c:pt>
                <c:pt idx="2">
                  <c:v>2.8105000000000002</c:v>
                </c:pt>
                <c:pt idx="3">
                  <c:v>2.3359999999999999</c:v>
                </c:pt>
                <c:pt idx="4">
                  <c:v>2.19</c:v>
                </c:pt>
                <c:pt idx="5">
                  <c:v>2.0804999999999998</c:v>
                </c:pt>
                <c:pt idx="6">
                  <c:v>2.044</c:v>
                </c:pt>
                <c:pt idx="7">
                  <c:v>1.679</c:v>
                </c:pt>
                <c:pt idx="8">
                  <c:v>1.6425000000000001</c:v>
                </c:pt>
                <c:pt idx="9">
                  <c:v>1.6425000000000001</c:v>
                </c:pt>
                <c:pt idx="10">
                  <c:v>1.5695000000000001</c:v>
                </c:pt>
                <c:pt idx="11">
                  <c:v>1.46</c:v>
                </c:pt>
                <c:pt idx="12">
                  <c:v>143.48650000000004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025-3E4F-9069-0F59D1E5076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PLASTIC WASTE BY COMPANY OF ORIGIN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D8-BD40-BEA8-641EDCB6507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D8-BD40-BEA8-641EDCB65072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D8-BD40-BEA8-641EDCB650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D8-BD40-BEA8-641EDCB650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AD8-BD40-BEA8-641EDCB65072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AD8-BD40-BEA8-641EDCB65072}"/>
              </c:ext>
            </c:extLst>
          </c:dPt>
          <c:dPt>
            <c:idx val="6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AD8-BD40-BEA8-641EDCB650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AD8-BD40-BEA8-641EDCB650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315-334C-8C2C-0BD107DFF4B9}"/>
              </c:ext>
            </c:extLst>
          </c:dPt>
          <c:dPt>
            <c:idx val="9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315-334C-8C2C-0BD107DFF4B9}"/>
              </c:ext>
            </c:extLst>
          </c:dPt>
          <c:dPt>
            <c:idx val="1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315-334C-8C2C-0BD107DFF4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PLASTIC'!$A$7:$A$17</c:f>
              <c:strCache>
                <c:ptCount val="11"/>
                <c:pt idx="0">
                  <c:v>MCS</c:v>
                </c:pt>
                <c:pt idx="1">
                  <c:v>Vitafit</c:v>
                </c:pt>
                <c:pt idx="2">
                  <c:v>APU</c:v>
                </c:pt>
                <c:pt idx="3">
                  <c:v>GN Beverages LLC</c:v>
                </c:pt>
                <c:pt idx="4">
                  <c:v>Teso</c:v>
                </c:pt>
                <c:pt idx="5">
                  <c:v>M International Mongolia</c:v>
                </c:pt>
                <c:pt idx="6">
                  <c:v>Monos Group LLC</c:v>
                </c:pt>
                <c:pt idx="7">
                  <c:v>MGL aqua LLC</c:v>
                </c:pt>
                <c:pt idx="8">
                  <c:v>Lucha LLC</c:v>
                </c:pt>
                <c:pt idx="9">
                  <c:v>Nomin Foods LLC</c:v>
                </c:pt>
                <c:pt idx="10">
                  <c:v>Others / unidentified</c:v>
                </c:pt>
              </c:strCache>
            </c:strRef>
          </c:cat>
          <c:val>
            <c:numRef>
              <c:f>'TOT. PLASTIC'!$B$7:$B$17</c:f>
              <c:numCache>
                <c:formatCode>General</c:formatCode>
                <c:ptCount val="11"/>
                <c:pt idx="0">
                  <c:v>2868</c:v>
                </c:pt>
                <c:pt idx="1">
                  <c:v>1198</c:v>
                </c:pt>
                <c:pt idx="2">
                  <c:v>1114</c:v>
                </c:pt>
                <c:pt idx="3">
                  <c:v>260</c:v>
                </c:pt>
                <c:pt idx="4">
                  <c:v>184</c:v>
                </c:pt>
                <c:pt idx="5">
                  <c:v>149</c:v>
                </c:pt>
                <c:pt idx="6">
                  <c:v>134</c:v>
                </c:pt>
                <c:pt idx="7">
                  <c:v>120</c:v>
                </c:pt>
                <c:pt idx="8">
                  <c:v>119</c:v>
                </c:pt>
                <c:pt idx="9">
                  <c:v>103</c:v>
                </c:pt>
                <c:pt idx="10" formatCode="#,##0">
                  <c:v>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AD8-BD40-BEA8-641EDCB650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PLASTIC WASTE BY TYPE OF ITEM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36-7349-A4E4-4823E60D5E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36-7349-A4E4-4823E60D5E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AE-4F4E-8346-F6C3217B7D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PLASTIC'!$A$35:$A$37</c:f>
              <c:strCache>
                <c:ptCount val="3"/>
                <c:pt idx="0">
                  <c:v>PET bottles</c:v>
                </c:pt>
                <c:pt idx="1">
                  <c:v>Soft plastic (plastic bags and wrapping)</c:v>
                </c:pt>
                <c:pt idx="2">
                  <c:v>Hard plastic (non-PET containers and items)</c:v>
                </c:pt>
              </c:strCache>
            </c:strRef>
          </c:cat>
          <c:val>
            <c:numRef>
              <c:f>'TOT. PLASTIC'!$B$35:$B$37</c:f>
              <c:numCache>
                <c:formatCode>#,##0</c:formatCode>
                <c:ptCount val="3"/>
                <c:pt idx="0">
                  <c:v>6674</c:v>
                </c:pt>
                <c:pt idx="1">
                  <c:v>5789</c:v>
                </c:pt>
                <c:pt idx="2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36-7349-A4E4-4823E60D5E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261360760906776"/>
          <c:y val="0.30244593545525128"/>
          <c:w val="0.27171506970719567"/>
          <c:h val="0.44998974159920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PLASTIC WASTE BY ORIGIN OF PRODUCTION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E1-1C44-B9B8-AA5AF73F8C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E1-1C44-B9B8-AA5AF73F8C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94-364B-9413-98E6FC699D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PLASTIC'!$A$127:$A$129</c:f>
              <c:strCache>
                <c:ptCount val="3"/>
                <c:pt idx="0">
                  <c:v>Mongolia</c:v>
                </c:pt>
                <c:pt idx="1">
                  <c:v>Imported</c:v>
                </c:pt>
                <c:pt idx="2">
                  <c:v>Unidentified</c:v>
                </c:pt>
              </c:strCache>
            </c:strRef>
          </c:cat>
          <c:val>
            <c:numRef>
              <c:f>'TOT. PLASTIC'!$B$127:$B$129</c:f>
              <c:numCache>
                <c:formatCode>General</c:formatCode>
                <c:ptCount val="3"/>
                <c:pt idx="0">
                  <c:v>6984</c:v>
                </c:pt>
                <c:pt idx="1">
                  <c:v>3115</c:v>
                </c:pt>
                <c:pt idx="2">
                  <c:v>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E1-1C44-B9B8-AA5AF73F8C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PLASTIC WASTE BY WM PROCESS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8F-494D-B412-D3E244BC75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8F-494D-B412-D3E244BC7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PLASTIC'!$A$148:$A$149</c:f>
              <c:strCache>
                <c:ptCount val="2"/>
                <c:pt idx="0">
                  <c:v>Downcycling</c:v>
                </c:pt>
                <c:pt idx="1">
                  <c:v>Landfill</c:v>
                </c:pt>
              </c:strCache>
            </c:strRef>
          </c:cat>
          <c:val>
            <c:numRef>
              <c:f>'TOT. PLASTIC'!$B$148:$B$149</c:f>
              <c:numCache>
                <c:formatCode>#,##0</c:formatCode>
                <c:ptCount val="2"/>
                <c:pt idx="0">
                  <c:v>12928</c:v>
                </c:pt>
                <c:pt idx="1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F-494D-B412-D3E244BC756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PLASTIC WASTE BY TYPE OF ITEM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9B-174C-84DF-4C7EE70BFB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9B-174C-84DF-4C7EE70BFB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D3-0744-A129-A3CFF7308C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PLASTIC'!$A$35:$A$37</c:f>
              <c:strCache>
                <c:ptCount val="3"/>
                <c:pt idx="0">
                  <c:v>PET bottles</c:v>
                </c:pt>
                <c:pt idx="1">
                  <c:v>Soft plastic (plastic bags and wrapping)</c:v>
                </c:pt>
                <c:pt idx="2">
                  <c:v>Hard plastic (non-PET containers and items)</c:v>
                </c:pt>
              </c:strCache>
            </c:strRef>
          </c:cat>
          <c:val>
            <c:numRef>
              <c:f>'TOT. PLASTIC'!$D$35:$D$37</c:f>
              <c:numCache>
                <c:formatCode>0.0</c:formatCode>
                <c:ptCount val="3"/>
                <c:pt idx="0">
                  <c:v>266.95999999999998</c:v>
                </c:pt>
                <c:pt idx="1">
                  <c:v>173.8179999999999</c:v>
                </c:pt>
                <c:pt idx="2">
                  <c:v>53.939999999999969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9B-174C-84DF-4C7EE70BFB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52443326436748"/>
          <c:y val="0.3073341621770963"/>
          <c:w val="0.33561511933101384"/>
          <c:h val="0.47740903439701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SUBCATEGORY OF PRODUCT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F8-B44D-9106-D2C173A556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F8-B44D-9106-D2C173A556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F8-B44D-9106-D2C173A556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F8-B44D-9106-D2C173A556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BF8-B44D-9106-D2C173A556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BF8-B44D-9106-D2C173A5567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BF8-B44D-9106-D2C173A5567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BF8-B44D-9106-D2C173A5567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4B7-3141-BD32-F3551BF7330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4B7-3141-BD32-F3551BF7330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4B7-3141-BD32-F3551BF7330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4B7-3141-BD32-F3551BF7330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4B7-3141-BD32-F3551BF7330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4B7-3141-BD32-F3551BF7330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4B7-3141-BD32-F3551BF7330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4B7-3141-BD32-F3551BF7330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4B7-3141-BD32-F3551BF7330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4B7-3141-BD32-F3551BF7330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E4B7-3141-BD32-F3551BF7330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E4B7-3141-BD32-F3551BF7330C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E4B7-3141-BD32-F3551BF7330C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E4B7-3141-BD32-F3551BF7330C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E4B7-3141-BD32-F3551BF7330C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E4B7-3141-BD32-F3551BF7330C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E4B7-3141-BD32-F3551BF7330C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E4B7-3141-BD32-F3551BF7330C}"/>
              </c:ext>
            </c:extLst>
          </c:dPt>
          <c:dLbls>
            <c:dLbl>
              <c:idx val="18"/>
              <c:layout>
                <c:manualLayout>
                  <c:x val="-5.4623945311920753E-2"/>
                  <c:y val="-6.23992073373901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4B7-3141-BD32-F3551BF7330C}"/>
                </c:ext>
              </c:extLst>
            </c:dLbl>
            <c:dLbl>
              <c:idx val="19"/>
              <c:layout>
                <c:manualLayout>
                  <c:x val="-3.9979758886071443E-2"/>
                  <c:y val="-6.34487838240709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4B7-3141-BD32-F3551BF7330C}"/>
                </c:ext>
              </c:extLst>
            </c:dLbl>
            <c:dLbl>
              <c:idx val="21"/>
              <c:layout>
                <c:manualLayout>
                  <c:x val="-4.5632961134095184E-3"/>
                  <c:y val="-5.8273152938288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4B7-3141-BD32-F3551BF73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OVERALL!$A$98:$A$123</c:f>
              <c:strCache>
                <c:ptCount val="26"/>
                <c:pt idx="0">
                  <c:v>Soda</c:v>
                </c:pt>
                <c:pt idx="1">
                  <c:v>Other food</c:v>
                </c:pt>
                <c:pt idx="2">
                  <c:v>Beer</c:v>
                </c:pt>
                <c:pt idx="3">
                  <c:v>Vodka</c:v>
                </c:pt>
                <c:pt idx="4">
                  <c:v>Wholesales wrapping</c:v>
                </c:pt>
                <c:pt idx="5">
                  <c:v>Juice</c:v>
                </c:pt>
                <c:pt idx="6">
                  <c:v>Water</c:v>
                </c:pt>
                <c:pt idx="7">
                  <c:v>Grocery and vegetable bags</c:v>
                </c:pt>
                <c:pt idx="8">
                  <c:v>Candy</c:v>
                </c:pt>
                <c:pt idx="9">
                  <c:v>Milk</c:v>
                </c:pt>
                <c:pt idx="10">
                  <c:v>Health and body care</c:v>
                </c:pt>
                <c:pt idx="11">
                  <c:v>Other plastic bags and wrapping</c:v>
                </c:pt>
                <c:pt idx="12">
                  <c:v>Dairy</c:v>
                </c:pt>
                <c:pt idx="13">
                  <c:v>Vegetal oil</c:v>
                </c:pt>
                <c:pt idx="14">
                  <c:v>Vegetables and fruits</c:v>
                </c:pt>
                <c:pt idx="15">
                  <c:v>Coffee and tea</c:v>
                </c:pt>
                <c:pt idx="16">
                  <c:v>Cleaning product</c:v>
                </c:pt>
                <c:pt idx="17">
                  <c:v>Wine</c:v>
                </c:pt>
                <c:pt idx="18">
                  <c:v>Car product</c:v>
                </c:pt>
                <c:pt idx="19">
                  <c:v>Soap and shampoo</c:v>
                </c:pt>
                <c:pt idx="20">
                  <c:v>Other items (non-packaging)</c:v>
                </c:pt>
                <c:pt idx="21">
                  <c:v>Protective plastic</c:v>
                </c:pt>
                <c:pt idx="22">
                  <c:v>Other goods</c:v>
                </c:pt>
                <c:pt idx="23">
                  <c:v>Other liquor</c:v>
                </c:pt>
                <c:pt idx="24">
                  <c:v>Praying oil</c:v>
                </c:pt>
                <c:pt idx="25">
                  <c:v>Veterinary product</c:v>
                </c:pt>
              </c:strCache>
            </c:strRef>
          </c:cat>
          <c:val>
            <c:numRef>
              <c:f>OVERALL!$B$98:$B$123</c:f>
              <c:numCache>
                <c:formatCode>#,##0</c:formatCode>
                <c:ptCount val="26"/>
                <c:pt idx="0">
                  <c:v>3843</c:v>
                </c:pt>
                <c:pt idx="1">
                  <c:v>2788</c:v>
                </c:pt>
                <c:pt idx="2">
                  <c:v>2507</c:v>
                </c:pt>
                <c:pt idx="3">
                  <c:v>2145</c:v>
                </c:pt>
                <c:pt idx="4">
                  <c:v>1955</c:v>
                </c:pt>
                <c:pt idx="5">
                  <c:v>1626</c:v>
                </c:pt>
                <c:pt idx="6">
                  <c:v>663</c:v>
                </c:pt>
                <c:pt idx="7">
                  <c:v>563</c:v>
                </c:pt>
                <c:pt idx="8">
                  <c:v>522</c:v>
                </c:pt>
                <c:pt idx="9">
                  <c:v>515</c:v>
                </c:pt>
                <c:pt idx="10">
                  <c:v>490</c:v>
                </c:pt>
                <c:pt idx="11">
                  <c:v>488</c:v>
                </c:pt>
                <c:pt idx="12">
                  <c:v>350</c:v>
                </c:pt>
                <c:pt idx="13">
                  <c:v>260</c:v>
                </c:pt>
                <c:pt idx="14">
                  <c:v>245</c:v>
                </c:pt>
                <c:pt idx="15">
                  <c:v>239</c:v>
                </c:pt>
                <c:pt idx="16">
                  <c:v>153</c:v>
                </c:pt>
                <c:pt idx="17">
                  <c:v>138</c:v>
                </c:pt>
                <c:pt idx="18">
                  <c:v>125</c:v>
                </c:pt>
                <c:pt idx="19">
                  <c:v>113</c:v>
                </c:pt>
                <c:pt idx="20">
                  <c:v>110</c:v>
                </c:pt>
                <c:pt idx="21">
                  <c:v>62</c:v>
                </c:pt>
                <c:pt idx="22">
                  <c:v>52</c:v>
                </c:pt>
                <c:pt idx="23">
                  <c:v>60</c:v>
                </c:pt>
                <c:pt idx="24">
                  <c:v>26</c:v>
                </c:pt>
                <c:pt idx="2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BF8-B44D-9106-D2C173A556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PLASTIC WASTE BY ORIGIN OF PRODUCTION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A2-2642-AB55-8DD8E0F2B9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A2-2642-AB55-8DD8E0F2B9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CF-9B41-90D1-C764EC831C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PLASTIC'!$A$127:$A$129</c:f>
              <c:strCache>
                <c:ptCount val="3"/>
                <c:pt idx="0">
                  <c:v>Mongolia</c:v>
                </c:pt>
                <c:pt idx="1">
                  <c:v>Imported</c:v>
                </c:pt>
                <c:pt idx="2">
                  <c:v>Unidentified</c:v>
                </c:pt>
              </c:strCache>
            </c:strRef>
          </c:cat>
          <c:val>
            <c:numRef>
              <c:f>'TOT. PLASTIC'!$D$127:$D$129</c:f>
              <c:numCache>
                <c:formatCode>0.0</c:formatCode>
                <c:ptCount val="3"/>
                <c:pt idx="0">
                  <c:v>278.83949999999999</c:v>
                </c:pt>
                <c:pt idx="1">
                  <c:v>110.48849999999999</c:v>
                </c:pt>
                <c:pt idx="2" formatCode="General">
                  <c:v>105.38999999999999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A2-2642-AB55-8DD8E0F2B9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4242442284506"/>
          <c:y val="0.40525361655374476"/>
          <c:w val="0.19194781417918225"/>
          <c:h val="0.245958354042953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PLASTIC WASTE BY TYPE OF PRODUCT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D-084B-AE36-F5098C4CD9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D-084B-AE36-F5098C4CD9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D-084B-AE36-F5098C4CD9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D-084B-AE36-F5098C4CD9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D-084B-AE36-F5098C4CD9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CD-084B-AE36-F5098C4CD90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CD-084B-AE36-F5098C4CD90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CD-084B-AE36-F5098C4CD90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6CD-084B-AE36-F5098C4CD90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6CD-084B-AE36-F5098C4CD90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6CD-084B-AE36-F5098C4CD90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6CD-084B-AE36-F5098C4CD90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6CD-084B-AE36-F5098C4CD90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BB9-0349-A89A-8D4290ED633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BB9-0349-A89A-8D4290ED633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BB9-0349-A89A-8D4290ED633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4BB9-0349-A89A-8D4290ED633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4BB9-0349-A89A-8D4290ED633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4BB9-0349-A89A-8D4290ED633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BB9-0349-A89A-8D4290ED633D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4BB9-0349-A89A-8D4290ED63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PLASTIC'!$A$101:$A$121</c:f>
              <c:strCache>
                <c:ptCount val="21"/>
                <c:pt idx="0">
                  <c:v>Soda</c:v>
                </c:pt>
                <c:pt idx="1">
                  <c:v>Other food</c:v>
                </c:pt>
                <c:pt idx="2">
                  <c:v>Wholesales wrapping</c:v>
                </c:pt>
                <c:pt idx="3">
                  <c:v>Juice</c:v>
                </c:pt>
                <c:pt idx="4">
                  <c:v>Beer</c:v>
                </c:pt>
                <c:pt idx="5">
                  <c:v>Water</c:v>
                </c:pt>
                <c:pt idx="6">
                  <c:v>Grocery and vegetable bags</c:v>
                </c:pt>
                <c:pt idx="7">
                  <c:v>Candy</c:v>
                </c:pt>
                <c:pt idx="8">
                  <c:v>Other plastic bags and wrapping</c:v>
                </c:pt>
                <c:pt idx="9">
                  <c:v>Health and body care</c:v>
                </c:pt>
                <c:pt idx="10">
                  <c:v>Dairy</c:v>
                </c:pt>
                <c:pt idx="11">
                  <c:v>Vegetal oil</c:v>
                </c:pt>
                <c:pt idx="12">
                  <c:v>Coffee and tea</c:v>
                </c:pt>
                <c:pt idx="13">
                  <c:v>Cleaning product</c:v>
                </c:pt>
                <c:pt idx="14">
                  <c:v>Car product</c:v>
                </c:pt>
                <c:pt idx="15">
                  <c:v>Soap and shampoo</c:v>
                </c:pt>
                <c:pt idx="16">
                  <c:v>Other items (non-packaging)</c:v>
                </c:pt>
                <c:pt idx="17">
                  <c:v>Protective plastic</c:v>
                </c:pt>
                <c:pt idx="18">
                  <c:v>Other goods</c:v>
                </c:pt>
                <c:pt idx="19">
                  <c:v>Praying oil</c:v>
                </c:pt>
                <c:pt idx="20">
                  <c:v>Veterinary product</c:v>
                </c:pt>
              </c:strCache>
            </c:strRef>
          </c:cat>
          <c:val>
            <c:numRef>
              <c:f>'TOT. PLASTIC'!$B$101:$B$121</c:f>
              <c:numCache>
                <c:formatCode>General</c:formatCode>
                <c:ptCount val="21"/>
                <c:pt idx="0">
                  <c:v>3334</c:v>
                </c:pt>
                <c:pt idx="1">
                  <c:v>2022</c:v>
                </c:pt>
                <c:pt idx="2">
                  <c:v>1955</c:v>
                </c:pt>
                <c:pt idx="3">
                  <c:v>1281</c:v>
                </c:pt>
                <c:pt idx="4">
                  <c:v>913</c:v>
                </c:pt>
                <c:pt idx="5">
                  <c:v>658</c:v>
                </c:pt>
                <c:pt idx="6">
                  <c:v>563</c:v>
                </c:pt>
                <c:pt idx="7">
                  <c:v>522</c:v>
                </c:pt>
                <c:pt idx="8">
                  <c:v>488</c:v>
                </c:pt>
                <c:pt idx="9">
                  <c:v>458</c:v>
                </c:pt>
                <c:pt idx="10">
                  <c:v>268</c:v>
                </c:pt>
                <c:pt idx="11">
                  <c:v>233</c:v>
                </c:pt>
                <c:pt idx="12">
                  <c:v>221</c:v>
                </c:pt>
                <c:pt idx="13">
                  <c:v>153</c:v>
                </c:pt>
                <c:pt idx="14">
                  <c:v>125</c:v>
                </c:pt>
                <c:pt idx="15">
                  <c:v>113</c:v>
                </c:pt>
                <c:pt idx="16">
                  <c:v>110</c:v>
                </c:pt>
                <c:pt idx="17">
                  <c:v>62</c:v>
                </c:pt>
                <c:pt idx="18">
                  <c:v>48</c:v>
                </c:pt>
                <c:pt idx="19">
                  <c:v>26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6CD-084B-AE36-F5098C4CD9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PLASTIC WASTE BY COMPANY OF ORIGIN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3-C34B-BB09-7066045A042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6F-7E45-880C-5E171A37F82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6F-7E45-880C-5E171A37F8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6F-7E45-880C-5E171A37F8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6F-7E45-880C-5E171A37F82C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6F-7E45-880C-5E171A37F82C}"/>
              </c:ext>
            </c:extLst>
          </c:dPt>
          <c:dPt>
            <c:idx val="6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56F-7E45-880C-5E171A37F8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56F-7E45-880C-5E171A37F8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F44-A04F-A068-AD6B496227D0}"/>
              </c:ext>
            </c:extLst>
          </c:dPt>
          <c:dPt>
            <c:idx val="9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F44-A04F-A068-AD6B496227D0}"/>
              </c:ext>
            </c:extLst>
          </c:dPt>
          <c:dPt>
            <c:idx val="1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F44-A04F-A068-AD6B496227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PLASTIC'!$A$7:$A$17</c:f>
              <c:strCache>
                <c:ptCount val="11"/>
                <c:pt idx="0">
                  <c:v>MCS</c:v>
                </c:pt>
                <c:pt idx="1">
                  <c:v>Vitafit</c:v>
                </c:pt>
                <c:pt idx="2">
                  <c:v>APU</c:v>
                </c:pt>
                <c:pt idx="3">
                  <c:v>GN Beverages LLC</c:v>
                </c:pt>
                <c:pt idx="4">
                  <c:v>Teso</c:v>
                </c:pt>
                <c:pt idx="5">
                  <c:v>M International Mongolia</c:v>
                </c:pt>
                <c:pt idx="6">
                  <c:v>Monos Group LLC</c:v>
                </c:pt>
                <c:pt idx="7">
                  <c:v>MGL aqua LLC</c:v>
                </c:pt>
                <c:pt idx="8">
                  <c:v>Lucha LLC</c:v>
                </c:pt>
                <c:pt idx="9">
                  <c:v>Nomin Foods LLC</c:v>
                </c:pt>
                <c:pt idx="10">
                  <c:v>Others / unidentified</c:v>
                </c:pt>
              </c:strCache>
            </c:strRef>
          </c:cat>
          <c:val>
            <c:numRef>
              <c:f>'TOT. PLASTIC'!$D$7:$D$17</c:f>
              <c:numCache>
                <c:formatCode>0.0</c:formatCode>
                <c:ptCount val="11"/>
                <c:pt idx="0">
                  <c:v>114.86299999999997</c:v>
                </c:pt>
                <c:pt idx="1">
                  <c:v>49.824999999999996</c:v>
                </c:pt>
                <c:pt idx="2">
                  <c:v>44.518000000000001</c:v>
                </c:pt>
                <c:pt idx="3">
                  <c:v>10.4</c:v>
                </c:pt>
                <c:pt idx="4">
                  <c:v>9.3584999999999994</c:v>
                </c:pt>
                <c:pt idx="5">
                  <c:v>5.4385000000000003</c:v>
                </c:pt>
                <c:pt idx="6">
                  <c:v>5.4495000000000005</c:v>
                </c:pt>
                <c:pt idx="7">
                  <c:v>4.8</c:v>
                </c:pt>
                <c:pt idx="8">
                  <c:v>4.76</c:v>
                </c:pt>
                <c:pt idx="9">
                  <c:v>3.8654999999999999</c:v>
                </c:pt>
                <c:pt idx="10">
                  <c:v>241.43999999999988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03-C34B-BB09-7066045A042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PLASTIC WASTE BY TYPE OF PRODUCT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FD-2E42-9AD4-FEC0D8385F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FD-2E42-9AD4-FEC0D8385F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FD-2E42-9AD4-FEC0D8385F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CFD-2E42-9AD4-FEC0D8385F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CFD-2E42-9AD4-FEC0D8385F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CFD-2E42-9AD4-FEC0D8385F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CFD-2E42-9AD4-FEC0D8385F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CFD-2E42-9AD4-FEC0D8385F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CFD-2E42-9AD4-FEC0D8385F2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CFD-2E42-9AD4-FEC0D8385F2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CFD-2E42-9AD4-FEC0D8385F2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CFD-2E42-9AD4-FEC0D8385F2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CFD-2E42-9AD4-FEC0D8385F2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E58-E245-ABDF-57869ADD1F0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E58-E245-ABDF-57869ADD1F0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E58-E245-ABDF-57869ADD1F0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E58-E245-ABDF-57869ADD1F0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E58-E245-ABDF-57869ADD1F0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FE58-E245-ABDF-57869ADD1F0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FE58-E245-ABDF-57869ADD1F0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FE58-E245-ABDF-57869ADD1F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PLASTIC'!$A$101:$A$121</c:f>
              <c:strCache>
                <c:ptCount val="21"/>
                <c:pt idx="0">
                  <c:v>Soda</c:v>
                </c:pt>
                <c:pt idx="1">
                  <c:v>Other food</c:v>
                </c:pt>
                <c:pt idx="2">
                  <c:v>Wholesales wrapping</c:v>
                </c:pt>
                <c:pt idx="3">
                  <c:v>Juice</c:v>
                </c:pt>
                <c:pt idx="4">
                  <c:v>Beer</c:v>
                </c:pt>
                <c:pt idx="5">
                  <c:v>Water</c:v>
                </c:pt>
                <c:pt idx="6">
                  <c:v>Grocery and vegetable bags</c:v>
                </c:pt>
                <c:pt idx="7">
                  <c:v>Candy</c:v>
                </c:pt>
                <c:pt idx="8">
                  <c:v>Other plastic bags and wrapping</c:v>
                </c:pt>
                <c:pt idx="9">
                  <c:v>Health and body care</c:v>
                </c:pt>
                <c:pt idx="10">
                  <c:v>Dairy</c:v>
                </c:pt>
                <c:pt idx="11">
                  <c:v>Vegetal oil</c:v>
                </c:pt>
                <c:pt idx="12">
                  <c:v>Coffee and tea</c:v>
                </c:pt>
                <c:pt idx="13">
                  <c:v>Cleaning product</c:v>
                </c:pt>
                <c:pt idx="14">
                  <c:v>Car product</c:v>
                </c:pt>
                <c:pt idx="15">
                  <c:v>Soap and shampoo</c:v>
                </c:pt>
                <c:pt idx="16">
                  <c:v>Other items (non-packaging)</c:v>
                </c:pt>
                <c:pt idx="17">
                  <c:v>Protective plastic</c:v>
                </c:pt>
                <c:pt idx="18">
                  <c:v>Other goods</c:v>
                </c:pt>
                <c:pt idx="19">
                  <c:v>Praying oil</c:v>
                </c:pt>
                <c:pt idx="20">
                  <c:v>Veterinary product</c:v>
                </c:pt>
              </c:strCache>
            </c:strRef>
          </c:cat>
          <c:val>
            <c:numRef>
              <c:f>'TOT. PLASTIC'!$D$101:$D$121</c:f>
              <c:numCache>
                <c:formatCode>0.0</c:formatCode>
                <c:ptCount val="21"/>
                <c:pt idx="0">
                  <c:v>133.36000000000001</c:v>
                </c:pt>
                <c:pt idx="1">
                  <c:v>67.966499999999996</c:v>
                </c:pt>
                <c:pt idx="2">
                  <c:v>82.11</c:v>
                </c:pt>
                <c:pt idx="3">
                  <c:v>51.183999999999997</c:v>
                </c:pt>
                <c:pt idx="4">
                  <c:v>36.519999999999996</c:v>
                </c:pt>
                <c:pt idx="5">
                  <c:v>26.319999999999997</c:v>
                </c:pt>
                <c:pt idx="6">
                  <c:v>2.8149999999999999</c:v>
                </c:pt>
                <c:pt idx="7">
                  <c:v>1.7729999999999999</c:v>
                </c:pt>
                <c:pt idx="8">
                  <c:v>4.4744999999999999</c:v>
                </c:pt>
                <c:pt idx="9">
                  <c:v>18.108499999999999</c:v>
                </c:pt>
                <c:pt idx="10">
                  <c:v>12.087999999999999</c:v>
                </c:pt>
                <c:pt idx="11">
                  <c:v>9.32</c:v>
                </c:pt>
                <c:pt idx="12">
                  <c:v>8.1025000000000009</c:v>
                </c:pt>
                <c:pt idx="13">
                  <c:v>7.3594999999999997</c:v>
                </c:pt>
                <c:pt idx="14">
                  <c:v>12.708499999999997</c:v>
                </c:pt>
                <c:pt idx="15">
                  <c:v>5.2730000000000006</c:v>
                </c:pt>
                <c:pt idx="16">
                  <c:v>8.8000000000000007</c:v>
                </c:pt>
                <c:pt idx="17">
                  <c:v>3.46</c:v>
                </c:pt>
                <c:pt idx="18">
                  <c:v>1.44</c:v>
                </c:pt>
                <c:pt idx="19">
                  <c:v>1.04</c:v>
                </c:pt>
                <c:pt idx="20">
                  <c:v>0.495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CFD-2E42-9AD4-FEC0D8385F2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PLASTIC WASTE BY MAIN TYPE OF PRODUCT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11-BF4C-8985-27A7D6AE14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11-BF4C-8985-27A7D6AE14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11-BF4C-8985-27A7D6AE14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11-BF4C-8985-27A7D6AE14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PLASTIC'!$A$79:$A$82</c:f>
              <c:strCache>
                <c:ptCount val="4"/>
                <c:pt idx="0">
                  <c:v>Drink packaging</c:v>
                </c:pt>
                <c:pt idx="1">
                  <c:v>Food packaging</c:v>
                </c:pt>
                <c:pt idx="2">
                  <c:v>Other plastic packaging, bags and wrapping</c:v>
                </c:pt>
                <c:pt idx="3">
                  <c:v>Plastic items</c:v>
                </c:pt>
              </c:strCache>
            </c:strRef>
          </c:cat>
          <c:val>
            <c:numRef>
              <c:f>'TOT. PLASTIC'!$B$79:$B$82</c:f>
              <c:numCache>
                <c:formatCode>General</c:formatCode>
                <c:ptCount val="4"/>
                <c:pt idx="0">
                  <c:v>6407</c:v>
                </c:pt>
                <c:pt idx="1">
                  <c:v>3045</c:v>
                </c:pt>
                <c:pt idx="2">
                  <c:v>4000</c:v>
                </c:pt>
                <c:pt idx="3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5411-BF4C-8985-27A7D6AE14D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PLASTIC WASTE BY MAIN TYPE OF PRODUCT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48-E04E-9E27-AB14509E94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48-E04E-9E27-AB14509E94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48-E04E-9E27-AB14509E94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48-E04E-9E27-AB14509E94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PLASTIC'!$A$79:$A$82</c:f>
              <c:strCache>
                <c:ptCount val="4"/>
                <c:pt idx="0">
                  <c:v>Drink packaging</c:v>
                </c:pt>
                <c:pt idx="1">
                  <c:v>Food packaging</c:v>
                </c:pt>
                <c:pt idx="2">
                  <c:v>Other plastic packaging, bags and wrapping</c:v>
                </c:pt>
                <c:pt idx="3">
                  <c:v>Plastic items</c:v>
                </c:pt>
              </c:strCache>
            </c:strRef>
          </c:cat>
          <c:val>
            <c:numRef>
              <c:f>'TOT. PLASTIC'!$D$79:$D$82</c:f>
              <c:numCache>
                <c:formatCode>General</c:formatCode>
                <c:ptCount val="4"/>
                <c:pt idx="0">
                  <c:v>255.48650000000001</c:v>
                </c:pt>
                <c:pt idx="1">
                  <c:v>91.147500000000008</c:v>
                </c:pt>
                <c:pt idx="2">
                  <c:v>139.28399999999999</c:v>
                </c:pt>
                <c:pt idx="3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1048-E04E-9E27-AB14509E94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PLASTIC WASTE BY WM PROCESS (WEIGHT)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90-7443-AD6C-31752D8709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90-7443-AD6C-31752D8709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PLASTIC'!$A$148:$A$149</c:f>
              <c:strCache>
                <c:ptCount val="2"/>
                <c:pt idx="0">
                  <c:v>Downcycling</c:v>
                </c:pt>
                <c:pt idx="1">
                  <c:v>Landfill</c:v>
                </c:pt>
              </c:strCache>
            </c:strRef>
          </c:cat>
          <c:val>
            <c:numRef>
              <c:f>'TOT. PLASTIC'!$D$148:$D$149</c:f>
              <c:numCache>
                <c:formatCode>0.0</c:formatCode>
                <c:ptCount val="2"/>
                <c:pt idx="0">
                  <c:v>467.61349999999982</c:v>
                </c:pt>
                <c:pt idx="1">
                  <c:v>27.104500000000002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90-7443-AD6C-31752D8709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PLASTIC WASTE BY TYPE OF PLASTIC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8-1840-B1C9-1F6BF00F87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8-1840-B1C9-1F6BF00F87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8-1840-B1C9-1F6BF00F87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8-1840-B1C9-1F6BF00F87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48-1840-B1C9-1F6BF00F87F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DEB-4049-AEE0-84B560C2674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DEB-4049-AEE0-84B560C2674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DEB-4049-AEE0-84B560C2674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DEB-4049-AEE0-84B560C267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PLASTIC'!$A$57:$A$65</c:f>
              <c:strCache>
                <c:ptCount val="9"/>
                <c:pt idx="0">
                  <c:v>PET (1)</c:v>
                </c:pt>
                <c:pt idx="1">
                  <c:v>LDPE (4)</c:v>
                </c:pt>
                <c:pt idx="2">
                  <c:v>PP (5) or LDPE (4)</c:v>
                </c:pt>
                <c:pt idx="3">
                  <c:v>Multi-layer</c:v>
                </c:pt>
                <c:pt idx="4">
                  <c:v>HDPE (2)</c:v>
                </c:pt>
                <c:pt idx="5">
                  <c:v>PP (5)</c:v>
                </c:pt>
                <c:pt idx="6">
                  <c:v> Mix LDPE/HDPE</c:v>
                </c:pt>
                <c:pt idx="7">
                  <c:v>PS (6)</c:v>
                </c:pt>
                <c:pt idx="8">
                  <c:v>Unidentified (PET or PP or HDPE)</c:v>
                </c:pt>
              </c:strCache>
            </c:strRef>
          </c:cat>
          <c:val>
            <c:numRef>
              <c:f>'TOT. PLASTIC'!$B$57:$B$65</c:f>
              <c:numCache>
                <c:formatCode>General</c:formatCode>
                <c:ptCount val="9"/>
                <c:pt idx="0" formatCode="#,##0">
                  <c:v>6674</c:v>
                </c:pt>
                <c:pt idx="1">
                  <c:v>3037</c:v>
                </c:pt>
                <c:pt idx="2">
                  <c:v>1698</c:v>
                </c:pt>
                <c:pt idx="3">
                  <c:v>1054</c:v>
                </c:pt>
                <c:pt idx="4">
                  <c:v>444</c:v>
                </c:pt>
                <c:pt idx="5">
                  <c:v>168</c:v>
                </c:pt>
                <c:pt idx="6">
                  <c:v>30</c:v>
                </c:pt>
                <c:pt idx="7">
                  <c:v>59</c:v>
                </c:pt>
                <c:pt idx="8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48-1840-B1C9-1F6BF00F87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PLASTIC WASTE </a:t>
            </a:r>
            <a:r>
              <a:rPr lang="en-US" b="1"/>
              <a:t>BY TYPE OF PLASTIC (WEIGHT)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A6-7346-A2A6-6278CD7A5E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A6-7346-A2A6-6278CD7A5E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6-7346-A2A6-6278CD7A5E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A6-7346-A2A6-6278CD7A5EE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2A6-7346-A2A6-6278CD7A5EE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2A6-7346-A2A6-6278CD7A5EE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2A6-7346-A2A6-6278CD7A5EE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2A6-7346-A2A6-6278CD7A5EE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2A6-7346-A2A6-6278CD7A5E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PLASTIC'!$A$57:$A$65</c:f>
              <c:strCache>
                <c:ptCount val="9"/>
                <c:pt idx="0">
                  <c:v>PET (1)</c:v>
                </c:pt>
                <c:pt idx="1">
                  <c:v>LDPE (4)</c:v>
                </c:pt>
                <c:pt idx="2">
                  <c:v>PP (5) or LDPE (4)</c:v>
                </c:pt>
                <c:pt idx="3">
                  <c:v>Multi-layer</c:v>
                </c:pt>
                <c:pt idx="4">
                  <c:v>HDPE (2)</c:v>
                </c:pt>
                <c:pt idx="5">
                  <c:v>PP (5)</c:v>
                </c:pt>
                <c:pt idx="6">
                  <c:v> Mix LDPE/HDPE</c:v>
                </c:pt>
                <c:pt idx="7">
                  <c:v>PS (6)</c:v>
                </c:pt>
                <c:pt idx="8">
                  <c:v>Unidentified (PET or PP or HDPE)</c:v>
                </c:pt>
              </c:strCache>
            </c:strRef>
          </c:cat>
          <c:val>
            <c:numRef>
              <c:f>'TOT. PLASTIC'!$D$57:$D$65</c:f>
              <c:numCache>
                <c:formatCode>0.0</c:formatCode>
                <c:ptCount val="9"/>
                <c:pt idx="0">
                  <c:v>266.95999999999998</c:v>
                </c:pt>
                <c:pt idx="1">
                  <c:v>90.649999999999991</c:v>
                </c:pt>
                <c:pt idx="2">
                  <c:v>44.697000000000024</c:v>
                </c:pt>
                <c:pt idx="3">
                  <c:v>38.471000000000018</c:v>
                </c:pt>
                <c:pt idx="4">
                  <c:v>30.989999999999988</c:v>
                </c:pt>
                <c:pt idx="5">
                  <c:v>6.1000000000000023</c:v>
                </c:pt>
                <c:pt idx="6">
                  <c:v>1.8</c:v>
                </c:pt>
                <c:pt idx="7">
                  <c:v>2.41</c:v>
                </c:pt>
                <c:pt idx="8">
                  <c:v>12.64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2A6-7346-A2A6-6278CD7A5E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ALUMINUM CANS BY COMPANY OF ORIGIN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32-C34D-B6D5-9905778C6B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32-C34D-B6D5-9905778C6B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32-C34D-B6D5-9905778C6BDC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32-C34D-B6D5-9905778C6B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'Alu cans'!$A$30:$A$33</c:f>
              <c:strCache>
                <c:ptCount val="4"/>
                <c:pt idx="0">
                  <c:v>APU</c:v>
                </c:pt>
                <c:pt idx="1">
                  <c:v>MCS</c:v>
                </c:pt>
                <c:pt idx="2">
                  <c:v>Nomin Foods LLC</c:v>
                </c:pt>
                <c:pt idx="3">
                  <c:v>Others / unidentified</c:v>
                </c:pt>
              </c:strCache>
            </c:strRef>
          </c:cat>
          <c:val>
            <c:numRef>
              <c:f>'Alu cans'!$B$30:$B$33</c:f>
              <c:numCache>
                <c:formatCode>General</c:formatCode>
                <c:ptCount val="4"/>
                <c:pt idx="0">
                  <c:v>1286</c:v>
                </c:pt>
                <c:pt idx="1">
                  <c:v>40</c:v>
                </c:pt>
                <c:pt idx="2">
                  <c:v>29</c:v>
                </c:pt>
                <c:pt idx="3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F32-C34D-B6D5-9905778C6B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130007597734493"/>
          <c:y val="0.39862124920195785"/>
          <c:w val="0.37508305705207901"/>
          <c:h val="0.3133727920834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SUBCATEGORY OF PRODUCT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21-834A-A780-0159D5D24B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21-834A-A780-0159D5D24B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21-834A-A780-0159D5D24B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21-834A-A780-0159D5D24B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721-834A-A780-0159D5D24B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721-834A-A780-0159D5D24B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721-834A-A780-0159D5D24B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721-834A-A780-0159D5D24B8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721-834A-A780-0159D5D24B8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721-834A-A780-0159D5D24B8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721-834A-A780-0159D5D24B8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721-834A-A780-0159D5D24B8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721-834A-A780-0159D5D24B8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721-834A-A780-0159D5D24B8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721-834A-A780-0159D5D24B8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721-834A-A780-0159D5D24B8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721-834A-A780-0159D5D24B8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721-834A-A780-0159D5D24B8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E721-834A-A780-0159D5D24B8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E721-834A-A780-0159D5D24B8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E721-834A-A780-0159D5D24B8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E721-834A-A780-0159D5D24B8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E721-834A-A780-0159D5D24B8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E721-834A-A780-0159D5D24B8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E721-834A-A780-0159D5D24B8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E721-834A-A780-0159D5D24B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OVERALL!$A$98:$A$123</c:f>
              <c:strCache>
                <c:ptCount val="26"/>
                <c:pt idx="0">
                  <c:v>Soda</c:v>
                </c:pt>
                <c:pt idx="1">
                  <c:v>Other food</c:v>
                </c:pt>
                <c:pt idx="2">
                  <c:v>Beer</c:v>
                </c:pt>
                <c:pt idx="3">
                  <c:v>Vodka</c:v>
                </c:pt>
                <c:pt idx="4">
                  <c:v>Wholesales wrapping</c:v>
                </c:pt>
                <c:pt idx="5">
                  <c:v>Juice</c:v>
                </c:pt>
                <c:pt idx="6">
                  <c:v>Water</c:v>
                </c:pt>
                <c:pt idx="7">
                  <c:v>Grocery and vegetable bags</c:v>
                </c:pt>
                <c:pt idx="8">
                  <c:v>Candy</c:v>
                </c:pt>
                <c:pt idx="9">
                  <c:v>Milk</c:v>
                </c:pt>
                <c:pt idx="10">
                  <c:v>Health and body care</c:v>
                </c:pt>
                <c:pt idx="11">
                  <c:v>Other plastic bags and wrapping</c:v>
                </c:pt>
                <c:pt idx="12">
                  <c:v>Dairy</c:v>
                </c:pt>
                <c:pt idx="13">
                  <c:v>Vegetal oil</c:v>
                </c:pt>
                <c:pt idx="14">
                  <c:v>Vegetables and fruits</c:v>
                </c:pt>
                <c:pt idx="15">
                  <c:v>Coffee and tea</c:v>
                </c:pt>
                <c:pt idx="16">
                  <c:v>Cleaning product</c:v>
                </c:pt>
                <c:pt idx="17">
                  <c:v>Wine</c:v>
                </c:pt>
                <c:pt idx="18">
                  <c:v>Car product</c:v>
                </c:pt>
                <c:pt idx="19">
                  <c:v>Soap and shampoo</c:v>
                </c:pt>
                <c:pt idx="20">
                  <c:v>Other items (non-packaging)</c:v>
                </c:pt>
                <c:pt idx="21">
                  <c:v>Protective plastic</c:v>
                </c:pt>
                <c:pt idx="22">
                  <c:v>Other goods</c:v>
                </c:pt>
                <c:pt idx="23">
                  <c:v>Other liquor</c:v>
                </c:pt>
                <c:pt idx="24">
                  <c:v>Praying oil</c:v>
                </c:pt>
                <c:pt idx="25">
                  <c:v>Veterinary product</c:v>
                </c:pt>
              </c:strCache>
            </c:strRef>
          </c:cat>
          <c:val>
            <c:numRef>
              <c:f>OVERALL!$D$98:$D$123</c:f>
              <c:numCache>
                <c:formatCode>#,##0.0</c:formatCode>
                <c:ptCount val="26"/>
                <c:pt idx="0">
                  <c:v>183.68900000000002</c:v>
                </c:pt>
                <c:pt idx="1">
                  <c:v>255.84150000000002</c:v>
                </c:pt>
                <c:pt idx="2">
                  <c:v>156.74000000000004</c:v>
                </c:pt>
                <c:pt idx="3">
                  <c:v>1109.3800000000006</c:v>
                </c:pt>
                <c:pt idx="4">
                  <c:v>82.11</c:v>
                </c:pt>
                <c:pt idx="5">
                  <c:v>74.103999999999999</c:v>
                </c:pt>
                <c:pt idx="6">
                  <c:v>29.169999999999998</c:v>
                </c:pt>
                <c:pt idx="7">
                  <c:v>2.8149999999999999</c:v>
                </c:pt>
                <c:pt idx="8">
                  <c:v>1.7729999999999999</c:v>
                </c:pt>
                <c:pt idx="9">
                  <c:v>20.6</c:v>
                </c:pt>
                <c:pt idx="10">
                  <c:v>22.4085</c:v>
                </c:pt>
                <c:pt idx="11">
                  <c:v>4.4744999999999999</c:v>
                </c:pt>
                <c:pt idx="12">
                  <c:v>16.452999999999999</c:v>
                </c:pt>
                <c:pt idx="13">
                  <c:v>17.77</c:v>
                </c:pt>
                <c:pt idx="14">
                  <c:v>11.025</c:v>
                </c:pt>
                <c:pt idx="15">
                  <c:v>11.5525</c:v>
                </c:pt>
                <c:pt idx="16">
                  <c:v>7.3594999999999997</c:v>
                </c:pt>
                <c:pt idx="17">
                  <c:v>67.62</c:v>
                </c:pt>
                <c:pt idx="18">
                  <c:v>12.708499999999997</c:v>
                </c:pt>
                <c:pt idx="19">
                  <c:v>5.2730000000000006</c:v>
                </c:pt>
                <c:pt idx="20">
                  <c:v>8.8000000000000007</c:v>
                </c:pt>
                <c:pt idx="21">
                  <c:v>3.46</c:v>
                </c:pt>
                <c:pt idx="22">
                  <c:v>2.84</c:v>
                </c:pt>
                <c:pt idx="23">
                  <c:v>30</c:v>
                </c:pt>
                <c:pt idx="24">
                  <c:v>1.04</c:v>
                </c:pt>
                <c:pt idx="25">
                  <c:v>0.495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E721-834A-A780-0159D5D24B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ALUMINUM CANS </a:t>
            </a:r>
            <a:r>
              <a:rPr lang="en-US" b="1"/>
              <a:t>BY TYPE OF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2-7144-AA79-FE1E2EBD9C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2-7144-AA79-FE1E2EBD9C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'Alu cans'!$A$51:$A$52</c:f>
              <c:strCache>
                <c:ptCount val="2"/>
                <c:pt idx="0">
                  <c:v>Beer</c:v>
                </c:pt>
                <c:pt idx="1">
                  <c:v>Soda</c:v>
                </c:pt>
              </c:strCache>
            </c:strRef>
          </c:cat>
          <c:val>
            <c:numRef>
              <c:f>'Alu cans'!$B$51:$B$52</c:f>
              <c:numCache>
                <c:formatCode>General</c:formatCode>
                <c:ptCount val="2"/>
                <c:pt idx="0">
                  <c:v>1318</c:v>
                </c:pt>
                <c:pt idx="1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2-7144-AA79-FE1E2EBD9C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069004621704899"/>
          <c:y val="0.46113147621253225"/>
          <c:w val="0.10634072235535774"/>
          <c:h val="0.162148481439820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ALUMINUM CANS </a:t>
            </a:r>
            <a:r>
              <a:rPr lang="en-US" b="1"/>
              <a:t>BY ORIGIN OF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31-5E4F-B29E-53A02072D9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31-5E4F-B29E-53A02072D9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'Alu cans'!$A$72:$A$73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'Alu cans'!$B$72:$B$73</c:f>
              <c:numCache>
                <c:formatCode>General</c:formatCode>
                <c:ptCount val="2"/>
                <c:pt idx="0">
                  <c:v>1288</c:v>
                </c:pt>
                <c:pt idx="1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31-5E4F-B29E-53A02072D9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064067811195731"/>
          <c:y val="0.43648358655872244"/>
          <c:w val="0.11646271675057011"/>
          <c:h val="0.19031745591660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ALUMINUM CANS BY PROCESSING CHANNEL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FA-7A42-BBE2-81693A33A5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'Alu cans'!$A$92</c:f>
              <c:strCache>
                <c:ptCount val="1"/>
                <c:pt idx="0">
                  <c:v>Downcycling</c:v>
                </c:pt>
              </c:strCache>
            </c:strRef>
          </c:cat>
          <c:val>
            <c:numRef>
              <c:f>'Alu cans'!$B$92</c:f>
              <c:numCache>
                <c:formatCode>General</c:formatCode>
                <c:ptCount val="1"/>
                <c:pt idx="0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FA-7A42-BBE2-81693A33A5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STEEL CANS BY COMPANY OF ORIGIN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98-F441-97AC-028DF166539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98-F441-97AC-028DF166539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98-F441-97AC-028DF1665399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98-F441-97AC-028DF1665399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98-F441-97AC-028DF16653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'Steel cans'!$A$44:$A$48</c:f>
              <c:strCache>
                <c:ptCount val="5"/>
                <c:pt idx="0">
                  <c:v>Cosmo Trade Co., Ltd</c:v>
                </c:pt>
                <c:pt idx="1">
                  <c:v>Del Monte importer</c:v>
                </c:pt>
                <c:pt idx="2">
                  <c:v>Bayasakh International LLC</c:v>
                </c:pt>
                <c:pt idx="3">
                  <c:v>Asian Organic Food Import LLC</c:v>
                </c:pt>
                <c:pt idx="4">
                  <c:v>Others / unidentified</c:v>
                </c:pt>
              </c:strCache>
            </c:strRef>
          </c:cat>
          <c:val>
            <c:numRef>
              <c:f>'Steel cans'!$B$44:$B$48</c:f>
              <c:numCache>
                <c:formatCode>General</c:formatCode>
                <c:ptCount val="5"/>
                <c:pt idx="0">
                  <c:v>170</c:v>
                </c:pt>
                <c:pt idx="1">
                  <c:v>28</c:v>
                </c:pt>
                <c:pt idx="2">
                  <c:v>17</c:v>
                </c:pt>
                <c:pt idx="3">
                  <c:v>15</c:v>
                </c:pt>
                <c:pt idx="4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D98-F441-97AC-028DF16653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97673977842481"/>
          <c:y val="0.19129094157347978"/>
          <c:w val="0.32875411361326007"/>
          <c:h val="0.65561106332296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STEEL CANS </a:t>
            </a:r>
            <a:r>
              <a:rPr lang="en-US" b="1"/>
              <a:t>BY TYPE OF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05D1-974F-9382-ED7EB9ED00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5D1-974F-9382-ED7EB9ED007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05D1-974F-9382-ED7EB9ED007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5D1-974F-9382-ED7EB9ED00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'Steel cans'!$A$63:$A$66</c:f>
              <c:strCache>
                <c:ptCount val="4"/>
                <c:pt idx="0">
                  <c:v>Vegetables and fruits</c:v>
                </c:pt>
                <c:pt idx="1">
                  <c:v>Other food</c:v>
                </c:pt>
                <c:pt idx="2">
                  <c:v>Dairy</c:v>
                </c:pt>
                <c:pt idx="3">
                  <c:v>Coffee and tea</c:v>
                </c:pt>
              </c:strCache>
            </c:strRef>
          </c:cat>
          <c:val>
            <c:numRef>
              <c:f>'Steel cans'!$B$63:$B$66</c:f>
              <c:numCache>
                <c:formatCode>General</c:formatCode>
                <c:ptCount val="4"/>
                <c:pt idx="0">
                  <c:v>245</c:v>
                </c:pt>
                <c:pt idx="1">
                  <c:v>129</c:v>
                </c:pt>
                <c:pt idx="2">
                  <c:v>27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D1-974F-9382-ED7EB9ED0076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D1-974F-9382-ED7EB9ED00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5D1-974F-9382-ED7EB9ED007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5D1-974F-9382-ED7EB9ED007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5D1-974F-9382-ED7EB9ED00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'Steel cans'!$A$63:$A$66</c:f>
              <c:strCache>
                <c:ptCount val="4"/>
                <c:pt idx="0">
                  <c:v>Vegetables and fruits</c:v>
                </c:pt>
                <c:pt idx="1">
                  <c:v>Other food</c:v>
                </c:pt>
                <c:pt idx="2">
                  <c:v>Dairy</c:v>
                </c:pt>
                <c:pt idx="3">
                  <c:v>Coffee and tea</c:v>
                </c:pt>
              </c:strCache>
            </c:strRef>
          </c:cat>
          <c:val>
            <c:numRef>
              <c:f>'Steel cans'!$B$63:$B$66</c:f>
              <c:numCache>
                <c:formatCode>General</c:formatCode>
                <c:ptCount val="4"/>
                <c:pt idx="0">
                  <c:v>245</c:v>
                </c:pt>
                <c:pt idx="1">
                  <c:v>129</c:v>
                </c:pt>
                <c:pt idx="2">
                  <c:v>27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D1-974F-9382-ED7EB9ED00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85834889195553"/>
          <c:y val="0.26216064101142289"/>
          <c:w val="0.1937670806613091"/>
          <c:h val="0.38796717311744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STEEL CANS </a:t>
            </a:r>
            <a:r>
              <a:rPr lang="en-US" b="1"/>
              <a:t>BY PROCESSING CHANNEL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E-9143-B23C-1DE00CC0D5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'Steel cans'!$A$103</c:f>
              <c:strCache>
                <c:ptCount val="1"/>
                <c:pt idx="0">
                  <c:v>Landfill</c:v>
                </c:pt>
              </c:strCache>
            </c:strRef>
          </c:cat>
          <c:val>
            <c:numRef>
              <c:f>'Steel cans'!$B$103</c:f>
              <c:numCache>
                <c:formatCode>General</c:formatCode>
                <c:ptCount val="1"/>
                <c:pt idx="0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6E-9143-B23C-1DE00CC0D5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</a:t>
            </a:r>
            <a:r>
              <a:rPr lang="en-US" sz="1400" b="1" i="0" u="none" strike="noStrike" baseline="0">
                <a:effectLst/>
              </a:rPr>
              <a:t>STEEL CANS </a:t>
            </a:r>
            <a:r>
              <a:rPr lang="en-US" b="1"/>
              <a:t>BY TYPE OF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90-3B42-B951-E003F8C6E2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90-3B42-B951-E003F8C6E2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'Steel cans'!$A$84:$A$85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'Steel cans'!$B$84:$B$85</c:f>
              <c:numCache>
                <c:formatCode>General</c:formatCode>
                <c:ptCount val="2"/>
                <c:pt idx="0">
                  <c:v>7</c:v>
                </c:pt>
                <c:pt idx="1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90-3B42-B951-E003F8C6E2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85834889195553"/>
          <c:y val="0.26216064101142289"/>
          <c:w val="0.1937670806613091"/>
          <c:h val="0.38796717311744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METAL WASTE BY COMPANY OF ORIGIN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37-0049-AE1C-1637DFFE2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37-0049-AE1C-1637DFFE26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37-0049-AE1C-1637DFFE26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37-0049-AE1C-1637DFFE26C5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A37-0049-AE1C-1637DFFE26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METAL'!$A$7:$A$11</c:f>
              <c:strCache>
                <c:ptCount val="5"/>
                <c:pt idx="0">
                  <c:v>APU</c:v>
                </c:pt>
                <c:pt idx="1">
                  <c:v>MCS</c:v>
                </c:pt>
                <c:pt idx="2">
                  <c:v>Nomin Foods LLC</c:v>
                </c:pt>
                <c:pt idx="3">
                  <c:v>Cosmo Trade Co., Ltd</c:v>
                </c:pt>
                <c:pt idx="4">
                  <c:v>Others / unidentified</c:v>
                </c:pt>
              </c:strCache>
            </c:strRef>
          </c:cat>
          <c:val>
            <c:numRef>
              <c:f>'TOT. METAL'!$B$7:$B$11</c:f>
              <c:numCache>
                <c:formatCode>General</c:formatCode>
                <c:ptCount val="5"/>
                <c:pt idx="0">
                  <c:v>1286</c:v>
                </c:pt>
                <c:pt idx="1">
                  <c:v>40</c:v>
                </c:pt>
                <c:pt idx="2">
                  <c:v>29</c:v>
                </c:pt>
                <c:pt idx="3">
                  <c:v>170</c:v>
                </c:pt>
                <c:pt idx="4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A37-0049-AE1C-1637DFFE26C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METAL WASTE BY TYPE OF ITEM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C5-744C-A6ED-D42B543B04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C5-744C-A6ED-D42B543B04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METAL'!$A$29:$A$30</c:f>
              <c:strCache>
                <c:ptCount val="2"/>
                <c:pt idx="0">
                  <c:v>Aluminum cans</c:v>
                </c:pt>
                <c:pt idx="1">
                  <c:v>Steel cans</c:v>
                </c:pt>
              </c:strCache>
            </c:strRef>
          </c:cat>
          <c:val>
            <c:numRef>
              <c:f>'TOT. METAL'!$B$29:$B$30</c:f>
              <c:numCache>
                <c:formatCode>#,##0</c:formatCode>
                <c:ptCount val="2"/>
                <c:pt idx="0">
                  <c:v>1476</c:v>
                </c:pt>
                <c:pt idx="1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C5-744C-A6ED-D42B543B04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29791730579129"/>
          <c:y val="0.11582610997154767"/>
          <c:w val="0.27171506970719567"/>
          <c:h val="0.84435585257725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METAL WASTE BY ORIGIN OF PRODUCTION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60-044B-B3BE-A64242BC19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60-044B-B3BE-A64242BC19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METAL'!$A$70:$A$71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'TOT. METAL'!$B$70:$B$71</c:f>
              <c:numCache>
                <c:formatCode>General</c:formatCode>
                <c:ptCount val="2"/>
                <c:pt idx="0">
                  <c:v>1295</c:v>
                </c:pt>
                <c:pt idx="1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60-044B-B3BE-A64242BC19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WASTE BY MAIN CATEGORY OF PRODUCT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C1-6740-A04A-08880133E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C1-6740-A04A-08880133E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C1-6740-A04A-08880133E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C1-6740-A04A-08880133E1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CC1-6740-A04A-08880133E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OVERALL!$A$75:$A$79</c:f>
              <c:strCache>
                <c:ptCount val="5"/>
                <c:pt idx="0">
                  <c:v>Drink packaging</c:v>
                </c:pt>
                <c:pt idx="1">
                  <c:v>Food packaging</c:v>
                </c:pt>
                <c:pt idx="2">
                  <c:v>Other (non-food/drink) packaging</c:v>
                </c:pt>
                <c:pt idx="3">
                  <c:v>Other plastic bags and wrapping</c:v>
                </c:pt>
                <c:pt idx="4">
                  <c:v>Plastic items</c:v>
                </c:pt>
              </c:strCache>
            </c:strRef>
          </c:cat>
          <c:val>
            <c:numRef>
              <c:f>OVERALL!$B$75:$B$79</c:f>
              <c:numCache>
                <c:formatCode>#,##0</c:formatCode>
                <c:ptCount val="5"/>
                <c:pt idx="0">
                  <c:v>11736</c:v>
                </c:pt>
                <c:pt idx="1">
                  <c:v>4165</c:v>
                </c:pt>
                <c:pt idx="2">
                  <c:v>968</c:v>
                </c:pt>
                <c:pt idx="3">
                  <c:v>3068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6CC1-6740-A04A-08880133E1B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420405241552602"/>
          <c:y val="0.23252552629734338"/>
          <c:w val="0.33561511933101384"/>
          <c:h val="0.60302717353209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METAL WASTE BY WM PROCESS (NUMBER)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AA-944C-9E67-2C014312EA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AA-944C-9E67-2C014312EA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METAL'!$A$89:$A$90</c:f>
              <c:strCache>
                <c:ptCount val="2"/>
                <c:pt idx="0">
                  <c:v>Downcycling</c:v>
                </c:pt>
                <c:pt idx="1">
                  <c:v>Landfill</c:v>
                </c:pt>
              </c:strCache>
            </c:strRef>
          </c:cat>
          <c:val>
            <c:numRef>
              <c:f>'TOT. METAL'!$B$89:$B$90</c:f>
              <c:numCache>
                <c:formatCode>General</c:formatCode>
                <c:ptCount val="2"/>
                <c:pt idx="0">
                  <c:v>1476</c:v>
                </c:pt>
                <c:pt idx="1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AA-944C-9E67-2C014312EAB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METAL WASTE BY TYPE OF ITEM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C-FC44-8113-3D3E91A5B1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C-FC44-8113-3D3E91A5B1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METAL'!$A$29:$A$30</c:f>
              <c:strCache>
                <c:ptCount val="2"/>
                <c:pt idx="0">
                  <c:v>Aluminum cans</c:v>
                </c:pt>
                <c:pt idx="1">
                  <c:v>Steel cans</c:v>
                </c:pt>
              </c:strCache>
            </c:strRef>
          </c:cat>
          <c:val>
            <c:numRef>
              <c:f>'TOT. METAL'!$D$29:$D$30</c:f>
              <c:numCache>
                <c:formatCode>0.0</c:formatCode>
                <c:ptCount val="2"/>
                <c:pt idx="0">
                  <c:v>22.14</c:v>
                </c:pt>
                <c:pt idx="1">
                  <c:v>18.134999999999998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3C-FC44-8113-3D3E91A5B19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METAL WASTE BY ORIGIN OF PRODUCTION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7E-1B49-801D-275261C17B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7E-1B49-801D-275261C17B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METAL'!$A$70:$A$71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'TOT. METAL'!$D$70:$D$71</c:f>
              <c:numCache>
                <c:formatCode>General</c:formatCode>
                <c:ptCount val="2"/>
                <c:pt idx="0">
                  <c:v>19.635000000000002</c:v>
                </c:pt>
                <c:pt idx="1">
                  <c:v>20.64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E-1B49-801D-275261C17B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METAL WASTE BY WM PROCESS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B1-9149-ABD3-28B0562EB5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B1-9149-ABD3-28B0562EB5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METAL'!$A$89:$A$90</c:f>
              <c:strCache>
                <c:ptCount val="2"/>
                <c:pt idx="0">
                  <c:v>Downcycling</c:v>
                </c:pt>
                <c:pt idx="1">
                  <c:v>Landfill</c:v>
                </c:pt>
              </c:strCache>
            </c:strRef>
          </c:cat>
          <c:val>
            <c:numRef>
              <c:f>'TOT. METAL'!$D$89:$D$90</c:f>
              <c:numCache>
                <c:formatCode>0.0</c:formatCode>
                <c:ptCount val="2"/>
                <c:pt idx="0">
                  <c:v>22.140000000000008</c:v>
                </c:pt>
                <c:pt idx="1">
                  <c:v>18.134999999999994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B1-9149-ABD3-28B0562EB59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941101171427296"/>
          <c:y val="0.43940227731756581"/>
          <c:w val="0.17115386332852062"/>
          <c:h val="0.178772063343383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METAL WASTE BY COMPANY OF ORIGIN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37-1B4C-81BD-3BF565CE00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37-1B4C-81BD-3BF565CE00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37-1B4C-81BD-3BF565CE00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37-1B4C-81BD-3BF565CE00EB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37-1B4C-81BD-3BF565CE00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METAL'!$A$7:$A$11</c:f>
              <c:strCache>
                <c:ptCount val="5"/>
                <c:pt idx="0">
                  <c:v>APU</c:v>
                </c:pt>
                <c:pt idx="1">
                  <c:v>MCS</c:v>
                </c:pt>
                <c:pt idx="2">
                  <c:v>Nomin Foods LLC</c:v>
                </c:pt>
                <c:pt idx="3">
                  <c:v>Cosmo Trade Co., Ltd</c:v>
                </c:pt>
                <c:pt idx="4">
                  <c:v>Others / unidentified</c:v>
                </c:pt>
              </c:strCache>
            </c:strRef>
          </c:cat>
          <c:val>
            <c:numRef>
              <c:f>'TOT. METAL'!$D$7:$D$11</c:f>
              <c:numCache>
                <c:formatCode>0.0</c:formatCode>
                <c:ptCount val="5"/>
                <c:pt idx="0">
                  <c:v>19.29</c:v>
                </c:pt>
                <c:pt idx="1">
                  <c:v>0.6</c:v>
                </c:pt>
                <c:pt idx="2">
                  <c:v>0.435</c:v>
                </c:pt>
                <c:pt idx="3">
                  <c:v>7.65</c:v>
                </c:pt>
                <c:pt idx="4">
                  <c:v>12.299999999999999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637-1B4C-81BD-3BF565CE00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METAL WASTE BY TYPE OF PRODUCT (NUMBER)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F-ED4B-A93A-DA0DADFE988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F-ED4B-A93A-DA0DADFE988E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F-ED4B-A93A-DA0DADFE98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F-ED4B-A93A-DA0DADFE98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EF-ED4B-A93A-DA0DADFE98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3EF-ED4B-A93A-DA0DADFE98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METAL'!$A$48:$A$53</c:f>
              <c:strCache>
                <c:ptCount val="6"/>
                <c:pt idx="0">
                  <c:v>Beer</c:v>
                </c:pt>
                <c:pt idx="1">
                  <c:v>Vegetables and fruits</c:v>
                </c:pt>
                <c:pt idx="2">
                  <c:v>Soda</c:v>
                </c:pt>
                <c:pt idx="3">
                  <c:v>Other food</c:v>
                </c:pt>
                <c:pt idx="4">
                  <c:v>Dairy</c:v>
                </c:pt>
                <c:pt idx="5">
                  <c:v>Coffee and tea</c:v>
                </c:pt>
              </c:strCache>
            </c:strRef>
          </c:cat>
          <c:val>
            <c:numRef>
              <c:f>'TOT. METAL'!$B$48:$B$53</c:f>
              <c:numCache>
                <c:formatCode>General</c:formatCode>
                <c:ptCount val="6"/>
                <c:pt idx="0">
                  <c:v>1318</c:v>
                </c:pt>
                <c:pt idx="1">
                  <c:v>245</c:v>
                </c:pt>
                <c:pt idx="2">
                  <c:v>158</c:v>
                </c:pt>
                <c:pt idx="3">
                  <c:v>129</c:v>
                </c:pt>
                <c:pt idx="4">
                  <c:v>27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EF-ED4B-A93A-DA0DADFE98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METAL WASTE BY TYPE OF PRODUCT (WEIGHT)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34-FE48-8BE5-7ED0DB8B519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34-FE48-8BE5-7ED0DB8B519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34-FE48-8BE5-7ED0DB8B51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34-FE48-8BE5-7ED0DB8B51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434-FE48-8BE5-7ED0DB8B51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434-FE48-8BE5-7ED0DB8B51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'TOT. METAL'!$A$48:$A$53</c:f>
              <c:strCache>
                <c:ptCount val="6"/>
                <c:pt idx="0">
                  <c:v>Beer</c:v>
                </c:pt>
                <c:pt idx="1">
                  <c:v>Vegetables and fruits</c:v>
                </c:pt>
                <c:pt idx="2">
                  <c:v>Soda</c:v>
                </c:pt>
                <c:pt idx="3">
                  <c:v>Other food</c:v>
                </c:pt>
                <c:pt idx="4">
                  <c:v>Dairy</c:v>
                </c:pt>
                <c:pt idx="5">
                  <c:v>Coffee and tea</c:v>
                </c:pt>
              </c:strCache>
            </c:strRef>
          </c:cat>
          <c:val>
            <c:numRef>
              <c:f>'TOT. METAL'!$D$48:$D$53</c:f>
              <c:numCache>
                <c:formatCode>0.0</c:formatCode>
                <c:ptCount val="6"/>
                <c:pt idx="0">
                  <c:v>19.77</c:v>
                </c:pt>
                <c:pt idx="1">
                  <c:v>11.025</c:v>
                </c:pt>
                <c:pt idx="2">
                  <c:v>2.37</c:v>
                </c:pt>
                <c:pt idx="3">
                  <c:v>5.8049999999999997</c:v>
                </c:pt>
                <c:pt idx="4">
                  <c:v>1.2150000000000001</c:v>
                </c:pt>
                <c:pt idx="5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434-FE48-8BE5-7ED0DB8B519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75697369224195"/>
          <c:y val="0.14943955534969894"/>
          <c:w val="0.33561511933101384"/>
          <c:h val="0.81074240719910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OF TETRA PAKS BY COMPANY OF ORIGIN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20-B64F-A0F7-DCB30AE7CC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20-B64F-A0F7-DCB30AE7CC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20-B64F-A0F7-DCB30AE7CC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20-B64F-A0F7-DCB30AE7CCB1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920-B64F-A0F7-DCB30AE7CCB1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920-B64F-A0F7-DCB30AE7CCB1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920-B64F-A0F7-DCB30AE7CCB1}"/>
              </c:ext>
            </c:extLst>
          </c:dPt>
          <c:dPt>
            <c:idx val="7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920-B64F-A0F7-DCB30AE7CCB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920-B64F-A0F7-DCB30AE7CC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TetraPak!$A$40:$A$48</c:f>
              <c:strCache>
                <c:ptCount val="9"/>
                <c:pt idx="0">
                  <c:v>APU</c:v>
                </c:pt>
                <c:pt idx="1">
                  <c:v>Vitafit</c:v>
                </c:pt>
                <c:pt idx="2">
                  <c:v>Vitsamo</c:v>
                </c:pt>
                <c:pt idx="3">
                  <c:v>MonFresh</c:v>
                </c:pt>
                <c:pt idx="4">
                  <c:v>MCS</c:v>
                </c:pt>
                <c:pt idx="5">
                  <c:v>Nomin Foods LLC</c:v>
                </c:pt>
                <c:pt idx="6">
                  <c:v>Suu LLC</c:v>
                </c:pt>
                <c:pt idx="7">
                  <c:v>Teso</c:v>
                </c:pt>
                <c:pt idx="8">
                  <c:v>Others / unidentified</c:v>
                </c:pt>
              </c:strCache>
            </c:strRef>
          </c:cat>
          <c:val>
            <c:numRef>
              <c:f>TetraPak!$B$40:$B$48</c:f>
              <c:numCache>
                <c:formatCode>General</c:formatCode>
                <c:ptCount val="9"/>
                <c:pt idx="0">
                  <c:v>262</c:v>
                </c:pt>
                <c:pt idx="1">
                  <c:v>235</c:v>
                </c:pt>
                <c:pt idx="2">
                  <c:v>92</c:v>
                </c:pt>
                <c:pt idx="3">
                  <c:v>58</c:v>
                </c:pt>
                <c:pt idx="4">
                  <c:v>42</c:v>
                </c:pt>
                <c:pt idx="5">
                  <c:v>44</c:v>
                </c:pt>
                <c:pt idx="6">
                  <c:v>46</c:v>
                </c:pt>
                <c:pt idx="7">
                  <c:v>33</c:v>
                </c:pt>
                <c:pt idx="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D920-B64F-A0F7-DCB30AE7CC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85666098701086"/>
          <c:y val="0.12512208032819427"/>
          <c:w val="0.25351537150848652"/>
          <c:h val="0.81736088136041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TETRA PAKS</a:t>
            </a:r>
            <a:r>
              <a:rPr lang="en-US" b="1" baseline="0"/>
              <a:t> </a:t>
            </a:r>
            <a:r>
              <a:rPr lang="en-US" b="1"/>
              <a:t>BY TYPE OF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7E-1F4D-903E-DF8332F1D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7E-1F4D-903E-DF8332F1DC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7E-1F4D-903E-DF8332F1DC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TetraPak!$A$59:$A$61</c:f>
              <c:strCache>
                <c:ptCount val="3"/>
                <c:pt idx="0">
                  <c:v>Milk</c:v>
                </c:pt>
                <c:pt idx="1">
                  <c:v>Juice</c:v>
                </c:pt>
                <c:pt idx="2">
                  <c:v>Dairy</c:v>
                </c:pt>
              </c:strCache>
            </c:strRef>
          </c:cat>
          <c:val>
            <c:numRef>
              <c:f>TetraPak!$B$59:$B$61</c:f>
              <c:numCache>
                <c:formatCode>General</c:formatCode>
                <c:ptCount val="3"/>
                <c:pt idx="0">
                  <c:v>515</c:v>
                </c:pt>
                <c:pt idx="1">
                  <c:v>307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77E-1F4D-903E-DF8332F1DC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98624210435247"/>
          <c:y val="0.3738451515616526"/>
          <c:w val="0.18048519234749436"/>
          <c:h val="0.369360375866915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DISTRIBUTION</a:t>
            </a:r>
            <a:r>
              <a:rPr lang="en-US" b="1" baseline="0"/>
              <a:t> </a:t>
            </a:r>
            <a:r>
              <a:rPr lang="en-US" b="1"/>
              <a:t>OF TETRA PAKS BY ORIGIN OF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A4-EF46-95E2-D94671E7C7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A4-EF46-95E2-D94671E7C7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TetraPak!$A$78:$A$79</c:f>
              <c:strCache>
                <c:ptCount val="2"/>
                <c:pt idx="0">
                  <c:v>Mongolia</c:v>
                </c:pt>
                <c:pt idx="1">
                  <c:v>Imported</c:v>
                </c:pt>
              </c:strCache>
            </c:strRef>
          </c:cat>
          <c:val>
            <c:numRef>
              <c:f>TetraPak!$B$78:$B$79</c:f>
              <c:numCache>
                <c:formatCode>General</c:formatCode>
                <c:ptCount val="2"/>
                <c:pt idx="0">
                  <c:v>726</c:v>
                </c:pt>
                <c:pt idx="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A4-EF46-95E2-D94671E7C7A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5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4" Type="http://schemas.openxmlformats.org/officeDocument/2006/relationships/chart" Target="../charts/chart86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4.xml"/><Relationship Id="rId3" Type="http://schemas.openxmlformats.org/officeDocument/2006/relationships/chart" Target="../charts/chart89.xml"/><Relationship Id="rId7" Type="http://schemas.openxmlformats.org/officeDocument/2006/relationships/chart" Target="../charts/chart93.xml"/><Relationship Id="rId2" Type="http://schemas.openxmlformats.org/officeDocument/2006/relationships/chart" Target="../charts/chart88.xml"/><Relationship Id="rId1" Type="http://schemas.openxmlformats.org/officeDocument/2006/relationships/chart" Target="../charts/chart87.xml"/><Relationship Id="rId6" Type="http://schemas.openxmlformats.org/officeDocument/2006/relationships/chart" Target="../charts/chart92.xml"/><Relationship Id="rId5" Type="http://schemas.openxmlformats.org/officeDocument/2006/relationships/chart" Target="../charts/chart91.xml"/><Relationship Id="rId10" Type="http://schemas.openxmlformats.org/officeDocument/2006/relationships/chart" Target="../charts/chart96.xml"/><Relationship Id="rId4" Type="http://schemas.openxmlformats.org/officeDocument/2006/relationships/chart" Target="../charts/chart90.xml"/><Relationship Id="rId9" Type="http://schemas.openxmlformats.org/officeDocument/2006/relationships/chart" Target="../charts/chart9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4" Type="http://schemas.openxmlformats.org/officeDocument/2006/relationships/chart" Target="../charts/chart10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4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13" Type="http://schemas.openxmlformats.org/officeDocument/2006/relationships/chart" Target="../charts/chart77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12" Type="http://schemas.openxmlformats.org/officeDocument/2006/relationships/chart" Target="../charts/chart76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11" Type="http://schemas.openxmlformats.org/officeDocument/2006/relationships/chart" Target="../charts/chart75.xml"/><Relationship Id="rId5" Type="http://schemas.openxmlformats.org/officeDocument/2006/relationships/chart" Target="../charts/chart69.xml"/><Relationship Id="rId10" Type="http://schemas.openxmlformats.org/officeDocument/2006/relationships/chart" Target="../charts/chart74.xml"/><Relationship Id="rId4" Type="http://schemas.openxmlformats.org/officeDocument/2006/relationships/chart" Target="../charts/chart68.xml"/><Relationship Id="rId9" Type="http://schemas.openxmlformats.org/officeDocument/2006/relationships/chart" Target="../charts/chart73.xml"/><Relationship Id="rId14" Type="http://schemas.openxmlformats.org/officeDocument/2006/relationships/chart" Target="../charts/chart7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4" Type="http://schemas.openxmlformats.org/officeDocument/2006/relationships/chart" Target="../charts/chart8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12700</xdr:colOff>
      <xdr:row>23</xdr:row>
      <xdr:rowOff>12700</xdr:rowOff>
    </xdr:from>
    <xdr:to>
      <xdr:col>18</xdr:col>
      <xdr:colOff>736600</xdr:colOff>
      <xdr:row>46</xdr:row>
      <xdr:rowOff>12700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FD47C4E-5772-2E46-87E4-6B69415F1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101600</xdr:colOff>
      <xdr:row>23</xdr:row>
      <xdr:rowOff>12700</xdr:rowOff>
    </xdr:from>
    <xdr:to>
      <xdr:col>12</xdr:col>
      <xdr:colOff>0</xdr:colOff>
      <xdr:row>46</xdr:row>
      <xdr:rowOff>17272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875DBF71-F0DF-0347-A05C-F873D10D4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18</xdr:col>
      <xdr:colOff>723900</xdr:colOff>
      <xdr:row>22</xdr:row>
      <xdr:rowOff>25400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7E174C72-C937-A942-B132-0113DFF86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101600</xdr:colOff>
      <xdr:row>2</xdr:row>
      <xdr:rowOff>12700</xdr:rowOff>
    </xdr:from>
    <xdr:to>
      <xdr:col>12</xdr:col>
      <xdr:colOff>0</xdr:colOff>
      <xdr:row>22</xdr:row>
      <xdr:rowOff>12700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1984ECE8-4A28-F24F-A419-0A11301A4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101600</xdr:colOff>
      <xdr:row>48</xdr:row>
      <xdr:rowOff>12700</xdr:rowOff>
    </xdr:from>
    <xdr:to>
      <xdr:col>12</xdr:col>
      <xdr:colOff>0</xdr:colOff>
      <xdr:row>70</xdr:row>
      <xdr:rowOff>12700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2FFAABFD-1E03-3B4C-887B-41CBCB369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63500</xdr:colOff>
      <xdr:row>48</xdr:row>
      <xdr:rowOff>12700</xdr:rowOff>
    </xdr:from>
    <xdr:to>
      <xdr:col>18</xdr:col>
      <xdr:colOff>787400</xdr:colOff>
      <xdr:row>70</xdr:row>
      <xdr:rowOff>12700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90C14323-0719-7A46-AC74-0BE228F96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152400</xdr:colOff>
      <xdr:row>95</xdr:row>
      <xdr:rowOff>12700</xdr:rowOff>
    </xdr:from>
    <xdr:to>
      <xdr:col>13</xdr:col>
      <xdr:colOff>393700</xdr:colOff>
      <xdr:row>123</xdr:row>
      <xdr:rowOff>12700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65907F08-C5C5-F04B-B130-DE7A097CC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508000</xdr:colOff>
      <xdr:row>95</xdr:row>
      <xdr:rowOff>0</xdr:rowOff>
    </xdr:from>
    <xdr:to>
      <xdr:col>21</xdr:col>
      <xdr:colOff>749300</xdr:colOff>
      <xdr:row>123</xdr:row>
      <xdr:rowOff>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8DF2316F-7027-244D-802E-5EB841591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139700</xdr:colOff>
      <xdr:row>72</xdr:row>
      <xdr:rowOff>0</xdr:rowOff>
    </xdr:from>
    <xdr:to>
      <xdr:col>13</xdr:col>
      <xdr:colOff>381000</xdr:colOff>
      <xdr:row>93</xdr:row>
      <xdr:rowOff>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1A1725D3-D757-3E40-B719-CA59ABCB4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495300</xdr:colOff>
      <xdr:row>72</xdr:row>
      <xdr:rowOff>0</xdr:rowOff>
    </xdr:from>
    <xdr:to>
      <xdr:col>21</xdr:col>
      <xdr:colOff>736600</xdr:colOff>
      <xdr:row>93</xdr:row>
      <xdr:rowOff>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5338AB79-CBBA-664A-8187-71294D45B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127000</xdr:colOff>
      <xdr:row>126</xdr:row>
      <xdr:rowOff>0</xdr:rowOff>
    </xdr:from>
    <xdr:to>
      <xdr:col>13</xdr:col>
      <xdr:colOff>368300</xdr:colOff>
      <xdr:row>146</xdr:row>
      <xdr:rowOff>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ECF486BF-2475-1348-B0FB-7088D0832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469900</xdr:colOff>
      <xdr:row>126</xdr:row>
      <xdr:rowOff>12700</xdr:rowOff>
    </xdr:from>
    <xdr:to>
      <xdr:col>21</xdr:col>
      <xdr:colOff>711200</xdr:colOff>
      <xdr:row>146</xdr:row>
      <xdr:rowOff>12700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6FE30B60-58D6-9B42-B56C-4DF148B72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139700</xdr:colOff>
      <xdr:row>147</xdr:row>
      <xdr:rowOff>12700</xdr:rowOff>
    </xdr:from>
    <xdr:to>
      <xdr:col>13</xdr:col>
      <xdr:colOff>381000</xdr:colOff>
      <xdr:row>167</xdr:row>
      <xdr:rowOff>12700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A528327-020A-5742-922A-3D01858D4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431800</xdr:colOff>
      <xdr:row>147</xdr:row>
      <xdr:rowOff>12700</xdr:rowOff>
    </xdr:from>
    <xdr:to>
      <xdr:col>21</xdr:col>
      <xdr:colOff>673100</xdr:colOff>
      <xdr:row>167</xdr:row>
      <xdr:rowOff>12700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E8EE86FC-FFCB-E042-9DB1-11AF5C686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41</xdr:row>
      <xdr:rowOff>0</xdr:rowOff>
    </xdr:from>
    <xdr:to>
      <xdr:col>10</xdr:col>
      <xdr:colOff>0</xdr:colOff>
      <xdr:row>57</xdr:row>
      <xdr:rowOff>114300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873530A5-993C-5A47-BA9C-7DEEC250B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60</xdr:row>
      <xdr:rowOff>0</xdr:rowOff>
    </xdr:from>
    <xdr:to>
      <xdr:col>10</xdr:col>
      <xdr:colOff>0</xdr:colOff>
      <xdr:row>77</xdr:row>
      <xdr:rowOff>127000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8D7BB1C6-FCF5-3E4D-842C-3F8C55DD6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114300</xdr:colOff>
      <xdr:row>100</xdr:row>
      <xdr:rowOff>12700</xdr:rowOff>
    </xdr:from>
    <xdr:to>
      <xdr:col>10</xdr:col>
      <xdr:colOff>38100</xdr:colOff>
      <xdr:row>117</xdr:row>
      <xdr:rowOff>177800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7E38574E-9DCC-A449-B174-58AAC3AB0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101600</xdr:colOff>
      <xdr:row>81</xdr:row>
      <xdr:rowOff>0</xdr:rowOff>
    </xdr:from>
    <xdr:to>
      <xdr:col>9</xdr:col>
      <xdr:colOff>876300</xdr:colOff>
      <xdr:row>98</xdr:row>
      <xdr:rowOff>139700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A53E6A19-7E7C-4343-AA7A-5273AFD16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0</xdr:rowOff>
    </xdr:from>
    <xdr:to>
      <xdr:col>9</xdr:col>
      <xdr:colOff>419100</xdr:colOff>
      <xdr:row>24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314B682-1307-9B4E-92BF-CC61A5A1E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26</xdr:row>
      <xdr:rowOff>12700</xdr:rowOff>
    </xdr:from>
    <xdr:to>
      <xdr:col>9</xdr:col>
      <xdr:colOff>342900</xdr:colOff>
      <xdr:row>42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41404B8-D76D-4D46-8EF4-29EB238EB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88900</xdr:colOff>
      <xdr:row>67</xdr:row>
      <xdr:rowOff>12700</xdr:rowOff>
    </xdr:from>
    <xdr:to>
      <xdr:col>9</xdr:col>
      <xdr:colOff>419100</xdr:colOff>
      <xdr:row>83</xdr:row>
      <xdr:rowOff>114300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B112016-D19A-1E49-87AC-A629262FA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114300</xdr:colOff>
      <xdr:row>86</xdr:row>
      <xdr:rowOff>38100</xdr:rowOff>
    </xdr:from>
    <xdr:to>
      <xdr:col>9</xdr:col>
      <xdr:colOff>419100</xdr:colOff>
      <xdr:row>103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64EBA1FC-FDD4-A149-9752-2D76B8C3C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495300</xdr:colOff>
      <xdr:row>26</xdr:row>
      <xdr:rowOff>12700</xdr:rowOff>
    </xdr:from>
    <xdr:to>
      <xdr:col>17</xdr:col>
      <xdr:colOff>533400</xdr:colOff>
      <xdr:row>42</xdr:row>
      <xdr:rowOff>165100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7F574E2-3BA5-FC46-A7F2-E5A901A68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495300</xdr:colOff>
      <xdr:row>67</xdr:row>
      <xdr:rowOff>12700</xdr:rowOff>
    </xdr:from>
    <xdr:to>
      <xdr:col>17</xdr:col>
      <xdr:colOff>533400</xdr:colOff>
      <xdr:row>83</xdr:row>
      <xdr:rowOff>165100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BF89A742-7A9A-A345-9129-6E1370DB1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469900</xdr:colOff>
      <xdr:row>86</xdr:row>
      <xdr:rowOff>38100</xdr:rowOff>
    </xdr:from>
    <xdr:to>
      <xdr:col>17</xdr:col>
      <xdr:colOff>508000</xdr:colOff>
      <xdr:row>102</xdr:row>
      <xdr:rowOff>190500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CC0A63CF-94FB-CC47-8467-702E1C427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508000</xdr:colOff>
      <xdr:row>4</xdr:row>
      <xdr:rowOff>0</xdr:rowOff>
    </xdr:from>
    <xdr:to>
      <xdr:col>17</xdr:col>
      <xdr:colOff>546100</xdr:colOff>
      <xdr:row>24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222E2CA2-1C88-924C-B70B-C4D8D6E5C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114300</xdr:colOff>
      <xdr:row>45</xdr:row>
      <xdr:rowOff>0</xdr:rowOff>
    </xdr:from>
    <xdr:to>
      <xdr:col>9</xdr:col>
      <xdr:colOff>419100</xdr:colOff>
      <xdr:row>65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7209FBC-AD09-B64F-968C-2E926F6D7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520700</xdr:colOff>
      <xdr:row>45</xdr:row>
      <xdr:rowOff>12700</xdr:rowOff>
    </xdr:from>
    <xdr:to>
      <xdr:col>17</xdr:col>
      <xdr:colOff>558800</xdr:colOff>
      <xdr:row>65</xdr:row>
      <xdr:rowOff>12700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CCBED282-B6A5-AD4C-B61D-3E62FF325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37</xdr:row>
      <xdr:rowOff>12700</xdr:rowOff>
    </xdr:from>
    <xdr:to>
      <xdr:col>10</xdr:col>
      <xdr:colOff>50800</xdr:colOff>
      <xdr:row>53</xdr:row>
      <xdr:rowOff>139700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377D007-5E2F-794F-B1E7-88B8EA901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101601</xdr:colOff>
      <xdr:row>56</xdr:row>
      <xdr:rowOff>0</xdr:rowOff>
    </xdr:from>
    <xdr:to>
      <xdr:col>10</xdr:col>
      <xdr:colOff>76201</xdr:colOff>
      <xdr:row>73</xdr:row>
      <xdr:rowOff>114300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E309509B-9FE5-D240-A98A-FD447757F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101600</xdr:colOff>
      <xdr:row>75</xdr:row>
      <xdr:rowOff>12700</xdr:rowOff>
    </xdr:from>
    <xdr:to>
      <xdr:col>10</xdr:col>
      <xdr:colOff>76200</xdr:colOff>
      <xdr:row>92</xdr:row>
      <xdr:rowOff>152400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872738AD-3991-D949-B4F6-24BE7B810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139700</xdr:colOff>
      <xdr:row>96</xdr:row>
      <xdr:rowOff>38100</xdr:rowOff>
    </xdr:from>
    <xdr:to>
      <xdr:col>10</xdr:col>
      <xdr:colOff>101600</xdr:colOff>
      <xdr:row>113</xdr:row>
      <xdr:rowOff>38100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72F30EA4-C438-FD41-ACB1-77E0AA759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41884</xdr:colOff>
      <xdr:row>107</xdr:row>
      <xdr:rowOff>11078</xdr:rowOff>
    </xdr:from>
    <xdr:to>
      <xdr:col>10</xdr:col>
      <xdr:colOff>54044</xdr:colOff>
      <xdr:row>123</xdr:row>
      <xdr:rowOff>176178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DF0848D1-5A3E-BB4C-A58A-7DADA5752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57015</xdr:colOff>
      <xdr:row>126</xdr:row>
      <xdr:rowOff>11079</xdr:rowOff>
    </xdr:from>
    <xdr:to>
      <xdr:col>10</xdr:col>
      <xdr:colOff>25400</xdr:colOff>
      <xdr:row>141</xdr:row>
      <xdr:rowOff>138079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DB74A7D8-AF04-764B-A517-92E3DE1D2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96737</xdr:colOff>
      <xdr:row>144</xdr:row>
      <xdr:rowOff>11890</xdr:rowOff>
    </xdr:from>
    <xdr:to>
      <xdr:col>10</xdr:col>
      <xdr:colOff>81065</xdr:colOff>
      <xdr:row>159</xdr:row>
      <xdr:rowOff>162128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5CCFB01D-DA06-F345-A45C-E77C8A1F9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81064</xdr:colOff>
      <xdr:row>107</xdr:row>
      <xdr:rowOff>13512</xdr:rowOff>
    </xdr:from>
    <xdr:to>
      <xdr:col>15</xdr:col>
      <xdr:colOff>635000</xdr:colOff>
      <xdr:row>123</xdr:row>
      <xdr:rowOff>175639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7A4B90D-25A0-E547-A3CD-70E8CD106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108085</xdr:colOff>
      <xdr:row>126</xdr:row>
      <xdr:rowOff>13511</xdr:rowOff>
    </xdr:from>
    <xdr:to>
      <xdr:col>15</xdr:col>
      <xdr:colOff>596900</xdr:colOff>
      <xdr:row>141</xdr:row>
      <xdr:rowOff>175639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5DE2CE3D-2E3F-BE47-AA31-F26138519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121596</xdr:colOff>
      <xdr:row>144</xdr:row>
      <xdr:rowOff>27021</xdr:rowOff>
    </xdr:from>
    <xdr:to>
      <xdr:col>15</xdr:col>
      <xdr:colOff>609600</xdr:colOff>
      <xdr:row>159</xdr:row>
      <xdr:rowOff>189149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5752FAD0-506A-8644-96EA-57E48A167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139700</xdr:colOff>
      <xdr:row>88</xdr:row>
      <xdr:rowOff>203200</xdr:rowOff>
    </xdr:from>
    <xdr:to>
      <xdr:col>9</xdr:col>
      <xdr:colOff>749300</xdr:colOff>
      <xdr:row>105</xdr:row>
      <xdr:rowOff>152400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804C3610-0B21-B144-90FA-BB024DF27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114300</xdr:colOff>
      <xdr:row>88</xdr:row>
      <xdr:rowOff>203200</xdr:rowOff>
    </xdr:from>
    <xdr:to>
      <xdr:col>15</xdr:col>
      <xdr:colOff>685800</xdr:colOff>
      <xdr:row>105</xdr:row>
      <xdr:rowOff>152400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8A704662-6B2A-EC4F-9C0E-28A47B48D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74</xdr:row>
      <xdr:rowOff>0</xdr:rowOff>
    </xdr:from>
    <xdr:to>
      <xdr:col>10</xdr:col>
      <xdr:colOff>609600</xdr:colOff>
      <xdr:row>90</xdr:row>
      <xdr:rowOff>139700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8F6D349D-5C49-654C-B7C9-56D912D69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88900</xdr:colOff>
      <xdr:row>93</xdr:row>
      <xdr:rowOff>12700</xdr:rowOff>
    </xdr:from>
    <xdr:to>
      <xdr:col>10</xdr:col>
      <xdr:colOff>622300</xdr:colOff>
      <xdr:row>109</xdr:row>
      <xdr:rowOff>114300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61DFEF85-E393-CD48-9918-A59FEFDE3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114300</xdr:colOff>
      <xdr:row>111</xdr:row>
      <xdr:rowOff>38100</xdr:rowOff>
    </xdr:from>
    <xdr:to>
      <xdr:col>10</xdr:col>
      <xdr:colOff>649768</xdr:colOff>
      <xdr:row>128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6618CE58-0CB1-844D-908A-7E088E60E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774700</xdr:colOff>
      <xdr:row>74</xdr:row>
      <xdr:rowOff>12700</xdr:rowOff>
    </xdr:from>
    <xdr:to>
      <xdr:col>17</xdr:col>
      <xdr:colOff>533400</xdr:colOff>
      <xdr:row>90</xdr:row>
      <xdr:rowOff>165100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2105F4CB-EB78-0847-8F58-307799AE5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774700</xdr:colOff>
      <xdr:row>93</xdr:row>
      <xdr:rowOff>12700</xdr:rowOff>
    </xdr:from>
    <xdr:to>
      <xdr:col>17</xdr:col>
      <xdr:colOff>533400</xdr:colOff>
      <xdr:row>109</xdr:row>
      <xdr:rowOff>165100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4AE469E6-FEBC-3B4D-8C7B-0F67A52E5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14767</xdr:colOff>
      <xdr:row>111</xdr:row>
      <xdr:rowOff>38100</xdr:rowOff>
    </xdr:from>
    <xdr:to>
      <xdr:col>17</xdr:col>
      <xdr:colOff>508000</xdr:colOff>
      <xdr:row>127</xdr:row>
      <xdr:rowOff>190500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4C88B2E1-F352-DA46-8EF9-8D538E6DB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165100</xdr:colOff>
      <xdr:row>53</xdr:row>
      <xdr:rowOff>190500</xdr:rowOff>
    </xdr:from>
    <xdr:to>
      <xdr:col>10</xdr:col>
      <xdr:colOff>622300</xdr:colOff>
      <xdr:row>71</xdr:row>
      <xdr:rowOff>127000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B0327B8-24EC-F84B-A6B1-4E7F7C008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54</xdr:row>
      <xdr:rowOff>0</xdr:rowOff>
    </xdr:from>
    <xdr:to>
      <xdr:col>17</xdr:col>
      <xdr:colOff>609600</xdr:colOff>
      <xdr:row>71</xdr:row>
      <xdr:rowOff>152400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E0E3B5AB-F9D9-284C-9D89-DCAD8C83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0</xdr:rowOff>
    </xdr:from>
    <xdr:to>
      <xdr:col>9</xdr:col>
      <xdr:colOff>419100</xdr:colOff>
      <xdr:row>29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3561BF8-3534-2345-9CCD-F20836EE6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31</xdr:row>
      <xdr:rowOff>12700</xdr:rowOff>
    </xdr:from>
    <xdr:to>
      <xdr:col>9</xdr:col>
      <xdr:colOff>342900</xdr:colOff>
      <xdr:row>47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A82006E-66C2-BD45-B99F-937390051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88900</xdr:colOff>
      <xdr:row>72</xdr:row>
      <xdr:rowOff>12700</xdr:rowOff>
    </xdr:from>
    <xdr:to>
      <xdr:col>9</xdr:col>
      <xdr:colOff>419100</xdr:colOff>
      <xdr:row>88</xdr:row>
      <xdr:rowOff>114300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84C3A32-DF29-B54F-990E-0C791D42A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114300</xdr:colOff>
      <xdr:row>91</xdr:row>
      <xdr:rowOff>38100</xdr:rowOff>
    </xdr:from>
    <xdr:to>
      <xdr:col>9</xdr:col>
      <xdr:colOff>419100</xdr:colOff>
      <xdr:row>108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E98C115-D916-8748-9E18-ED01D8990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495300</xdr:colOff>
      <xdr:row>31</xdr:row>
      <xdr:rowOff>12700</xdr:rowOff>
    </xdr:from>
    <xdr:to>
      <xdr:col>17</xdr:col>
      <xdr:colOff>533400</xdr:colOff>
      <xdr:row>47</xdr:row>
      <xdr:rowOff>165100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4EA4176A-8291-4642-9564-89758078D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495300</xdr:colOff>
      <xdr:row>72</xdr:row>
      <xdr:rowOff>12700</xdr:rowOff>
    </xdr:from>
    <xdr:to>
      <xdr:col>17</xdr:col>
      <xdr:colOff>533400</xdr:colOff>
      <xdr:row>88</xdr:row>
      <xdr:rowOff>165100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35BF33C0-94CE-6741-87D8-B2F9FF607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469900</xdr:colOff>
      <xdr:row>91</xdr:row>
      <xdr:rowOff>38100</xdr:rowOff>
    </xdr:from>
    <xdr:to>
      <xdr:col>17</xdr:col>
      <xdr:colOff>508000</xdr:colOff>
      <xdr:row>107</xdr:row>
      <xdr:rowOff>190500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3ED04912-5F5A-7447-848D-998429C52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508000</xdr:colOff>
      <xdr:row>4</xdr:row>
      <xdr:rowOff>0</xdr:rowOff>
    </xdr:from>
    <xdr:to>
      <xdr:col>17</xdr:col>
      <xdr:colOff>546100</xdr:colOff>
      <xdr:row>29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B544FD4F-41DF-CA4D-B528-FE6A4727B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114300</xdr:colOff>
      <xdr:row>50</xdr:row>
      <xdr:rowOff>0</xdr:rowOff>
    </xdr:from>
    <xdr:to>
      <xdr:col>9</xdr:col>
      <xdr:colOff>419100</xdr:colOff>
      <xdr:row>70</xdr:row>
      <xdr:rowOff>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226ED188-5481-9448-9E46-E547CC661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520700</xdr:colOff>
      <xdr:row>50</xdr:row>
      <xdr:rowOff>12700</xdr:rowOff>
    </xdr:from>
    <xdr:to>
      <xdr:col>17</xdr:col>
      <xdr:colOff>558800</xdr:colOff>
      <xdr:row>70</xdr:row>
      <xdr:rowOff>12700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9D3A749F-FE60-574B-B29C-9E09F8119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66</xdr:row>
      <xdr:rowOff>0</xdr:rowOff>
    </xdr:from>
    <xdr:to>
      <xdr:col>12</xdr:col>
      <xdr:colOff>266700</xdr:colOff>
      <xdr:row>82</xdr:row>
      <xdr:rowOff>177800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A8A10FE5-B82B-E048-8700-F33B50187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84</xdr:row>
      <xdr:rowOff>12700</xdr:rowOff>
    </xdr:from>
    <xdr:to>
      <xdr:col>12</xdr:col>
      <xdr:colOff>266700</xdr:colOff>
      <xdr:row>100</xdr:row>
      <xdr:rowOff>190500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68CB221E-F136-934C-8C02-91C9B0334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215900</xdr:colOff>
      <xdr:row>103</xdr:row>
      <xdr:rowOff>12700</xdr:rowOff>
    </xdr:from>
    <xdr:to>
      <xdr:col>12</xdr:col>
      <xdr:colOff>279400</xdr:colOff>
      <xdr:row>119</xdr:row>
      <xdr:rowOff>190500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361E829D-708A-5149-BAB5-936B583CE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215900</xdr:colOff>
      <xdr:row>122</xdr:row>
      <xdr:rowOff>12700</xdr:rowOff>
    </xdr:from>
    <xdr:to>
      <xdr:col>12</xdr:col>
      <xdr:colOff>228600</xdr:colOff>
      <xdr:row>137</xdr:row>
      <xdr:rowOff>190500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A25E8BCF-D715-D94B-AFD8-214FD9A9A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150</xdr:row>
      <xdr:rowOff>0</xdr:rowOff>
    </xdr:from>
    <xdr:to>
      <xdr:col>11</xdr:col>
      <xdr:colOff>228600</xdr:colOff>
      <xdr:row>169</xdr:row>
      <xdr:rowOff>101600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396C8BE3-EA62-694D-B1FD-5B986B221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194</xdr:row>
      <xdr:rowOff>25400</xdr:rowOff>
    </xdr:from>
    <xdr:to>
      <xdr:col>11</xdr:col>
      <xdr:colOff>254000</xdr:colOff>
      <xdr:row>211</xdr:row>
      <xdr:rowOff>114300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D51D5298-A095-C54A-ABDB-060AB694D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12700</xdr:colOff>
      <xdr:row>129</xdr:row>
      <xdr:rowOff>12700</xdr:rowOff>
    </xdr:from>
    <xdr:to>
      <xdr:col>19</xdr:col>
      <xdr:colOff>279400</xdr:colOff>
      <xdr:row>149</xdr:row>
      <xdr:rowOff>12700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94315D11-D8AD-A148-9773-479788AE5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129</xdr:row>
      <xdr:rowOff>12700</xdr:rowOff>
    </xdr:from>
    <xdr:to>
      <xdr:col>11</xdr:col>
      <xdr:colOff>228600</xdr:colOff>
      <xdr:row>149</xdr:row>
      <xdr:rowOff>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846EECA1-9D53-AA41-A9A1-652F8043B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12700</xdr:colOff>
      <xdr:row>150</xdr:row>
      <xdr:rowOff>12700</xdr:rowOff>
    </xdr:from>
    <xdr:to>
      <xdr:col>19</xdr:col>
      <xdr:colOff>317500</xdr:colOff>
      <xdr:row>169</xdr:row>
      <xdr:rowOff>114300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1DB9DDAC-3A1C-5940-9D9F-CC1DD6CC9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165100</xdr:colOff>
      <xdr:row>172</xdr:row>
      <xdr:rowOff>12700</xdr:rowOff>
    </xdr:from>
    <xdr:to>
      <xdr:col>11</xdr:col>
      <xdr:colOff>203200</xdr:colOff>
      <xdr:row>191</xdr:row>
      <xdr:rowOff>101600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9B842EBD-0229-EC46-A51D-99008C567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317500</xdr:colOff>
      <xdr:row>172</xdr:row>
      <xdr:rowOff>25400</xdr:rowOff>
    </xdr:from>
    <xdr:to>
      <xdr:col>19</xdr:col>
      <xdr:colOff>317500</xdr:colOff>
      <xdr:row>191</xdr:row>
      <xdr:rowOff>114300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265C9EA8-1F0D-B64A-9176-D8E43FCB5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330200</xdr:colOff>
      <xdr:row>194</xdr:row>
      <xdr:rowOff>12700</xdr:rowOff>
    </xdr:from>
    <xdr:to>
      <xdr:col>19</xdr:col>
      <xdr:colOff>292100</xdr:colOff>
      <xdr:row>211</xdr:row>
      <xdr:rowOff>101600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E911C0D1-EC3C-3441-95BB-0DE1296D8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101600</xdr:colOff>
      <xdr:row>104</xdr:row>
      <xdr:rowOff>0</xdr:rowOff>
    </xdr:from>
    <xdr:to>
      <xdr:col>11</xdr:col>
      <xdr:colOff>203200</xdr:colOff>
      <xdr:row>128</xdr:row>
      <xdr:rowOff>0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809829B9-E6B8-7249-9CF5-B6F61A767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104</xdr:row>
      <xdr:rowOff>0</xdr:rowOff>
    </xdr:from>
    <xdr:to>
      <xdr:col>19</xdr:col>
      <xdr:colOff>254000</xdr:colOff>
      <xdr:row>128</xdr:row>
      <xdr:rowOff>0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2A210C65-AA2F-344D-9896-89C10B17F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170</xdr:row>
      <xdr:rowOff>0</xdr:rowOff>
    </xdr:from>
    <xdr:to>
      <xdr:col>10</xdr:col>
      <xdr:colOff>12700</xdr:colOff>
      <xdr:row>189</xdr:row>
      <xdr:rowOff>101600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CAED14E-2B70-0F40-8D25-F64B27CC1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213</xdr:row>
      <xdr:rowOff>25400</xdr:rowOff>
    </xdr:from>
    <xdr:to>
      <xdr:col>10</xdr:col>
      <xdr:colOff>50800</xdr:colOff>
      <xdr:row>231</xdr:row>
      <xdr:rowOff>114300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2627B95E-473E-904B-B229-3F71F1A6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139700</xdr:colOff>
      <xdr:row>127</xdr:row>
      <xdr:rowOff>0</xdr:rowOff>
    </xdr:from>
    <xdr:to>
      <xdr:col>10</xdr:col>
      <xdr:colOff>63500</xdr:colOff>
      <xdr:row>146</xdr:row>
      <xdr:rowOff>190500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EA9AFF4D-A237-FD44-83BB-416A0B88F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63500</xdr:colOff>
      <xdr:row>150</xdr:row>
      <xdr:rowOff>12700</xdr:rowOff>
    </xdr:from>
    <xdr:to>
      <xdr:col>19</xdr:col>
      <xdr:colOff>279400</xdr:colOff>
      <xdr:row>167</xdr:row>
      <xdr:rowOff>165100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C5928999-0D39-044D-9B0C-B596543FC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127000</xdr:colOff>
      <xdr:row>150</xdr:row>
      <xdr:rowOff>12700</xdr:rowOff>
    </xdr:from>
    <xdr:to>
      <xdr:col>10</xdr:col>
      <xdr:colOff>0</xdr:colOff>
      <xdr:row>167</xdr:row>
      <xdr:rowOff>165100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AAF718F3-2ECD-3A41-BBD8-166806FF0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88900</xdr:colOff>
      <xdr:row>170</xdr:row>
      <xdr:rowOff>12700</xdr:rowOff>
    </xdr:from>
    <xdr:to>
      <xdr:col>19</xdr:col>
      <xdr:colOff>317500</xdr:colOff>
      <xdr:row>190</xdr:row>
      <xdr:rowOff>88900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5D37509E-FFF3-7A44-AD14-ABD307AA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165100</xdr:colOff>
      <xdr:row>192</xdr:row>
      <xdr:rowOff>12700</xdr:rowOff>
    </xdr:from>
    <xdr:to>
      <xdr:col>10</xdr:col>
      <xdr:colOff>38100</xdr:colOff>
      <xdr:row>210</xdr:row>
      <xdr:rowOff>101600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5174B16E-0BE6-304C-9AFA-777DA8579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88900</xdr:colOff>
      <xdr:row>192</xdr:row>
      <xdr:rowOff>25400</xdr:rowOff>
    </xdr:from>
    <xdr:to>
      <xdr:col>19</xdr:col>
      <xdr:colOff>317500</xdr:colOff>
      <xdr:row>210</xdr:row>
      <xdr:rowOff>114300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F07AABDB-7AA6-514D-B7D0-037731B81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76200</xdr:colOff>
      <xdr:row>213</xdr:row>
      <xdr:rowOff>12700</xdr:rowOff>
    </xdr:from>
    <xdr:to>
      <xdr:col>19</xdr:col>
      <xdr:colOff>292100</xdr:colOff>
      <xdr:row>231</xdr:row>
      <xdr:rowOff>101600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830AB172-1C22-A24D-BE5E-E5137E9B8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152400</xdr:colOff>
      <xdr:row>127</xdr:row>
      <xdr:rowOff>0</xdr:rowOff>
    </xdr:from>
    <xdr:to>
      <xdr:col>19</xdr:col>
      <xdr:colOff>12700</xdr:colOff>
      <xdr:row>147</xdr:row>
      <xdr:rowOff>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2A8D02B9-2D74-9041-9692-EAC6F89B7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0</xdr:rowOff>
    </xdr:from>
    <xdr:to>
      <xdr:col>9</xdr:col>
      <xdr:colOff>419100</xdr:colOff>
      <xdr:row>30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2654E6-9DF0-B84B-A3FC-741E6BB1D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32</xdr:row>
      <xdr:rowOff>12700</xdr:rowOff>
    </xdr:from>
    <xdr:to>
      <xdr:col>9</xdr:col>
      <xdr:colOff>342900</xdr:colOff>
      <xdr:row>49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4D1B065-CB9A-F74F-A133-18BBEB25A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88900</xdr:colOff>
      <xdr:row>124</xdr:row>
      <xdr:rowOff>12700</xdr:rowOff>
    </xdr:from>
    <xdr:to>
      <xdr:col>9</xdr:col>
      <xdr:colOff>419100</xdr:colOff>
      <xdr:row>141</xdr:row>
      <xdr:rowOff>114300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85E5345-D8AC-AA47-884D-0A45F70FD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114300</xdr:colOff>
      <xdr:row>145</xdr:row>
      <xdr:rowOff>38100</xdr:rowOff>
    </xdr:from>
    <xdr:to>
      <xdr:col>9</xdr:col>
      <xdr:colOff>419100</xdr:colOff>
      <xdr:row>161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0F949EB-B518-404C-A842-C9C7F4F2A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495300</xdr:colOff>
      <xdr:row>32</xdr:row>
      <xdr:rowOff>12700</xdr:rowOff>
    </xdr:from>
    <xdr:to>
      <xdr:col>17</xdr:col>
      <xdr:colOff>533400</xdr:colOff>
      <xdr:row>49</xdr:row>
      <xdr:rowOff>165100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B6AC4398-331F-F045-8530-7E7150012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495300</xdr:colOff>
      <xdr:row>124</xdr:row>
      <xdr:rowOff>12700</xdr:rowOff>
    </xdr:from>
    <xdr:to>
      <xdr:col>17</xdr:col>
      <xdr:colOff>533400</xdr:colOff>
      <xdr:row>141</xdr:row>
      <xdr:rowOff>165100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6C43D2CB-9A20-0746-8A5D-57B512A70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114300</xdr:colOff>
      <xdr:row>98</xdr:row>
      <xdr:rowOff>0</xdr:rowOff>
    </xdr:from>
    <xdr:to>
      <xdr:col>9</xdr:col>
      <xdr:colOff>419100</xdr:colOff>
      <xdr:row>121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7A60AF3D-E866-9348-81A6-2826425B7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508000</xdr:colOff>
      <xdr:row>4</xdr:row>
      <xdr:rowOff>12700</xdr:rowOff>
    </xdr:from>
    <xdr:to>
      <xdr:col>17</xdr:col>
      <xdr:colOff>546100</xdr:colOff>
      <xdr:row>30</xdr:row>
      <xdr:rowOff>12700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71FEDAC4-9E1A-DD4F-A813-6058BE555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520700</xdr:colOff>
      <xdr:row>98</xdr:row>
      <xdr:rowOff>12700</xdr:rowOff>
    </xdr:from>
    <xdr:to>
      <xdr:col>17</xdr:col>
      <xdr:colOff>558800</xdr:colOff>
      <xdr:row>121</xdr:row>
      <xdr:rowOff>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BE765AFB-866E-C346-9A1F-B85E162EB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114300</xdr:colOff>
      <xdr:row>76</xdr:row>
      <xdr:rowOff>0</xdr:rowOff>
    </xdr:from>
    <xdr:to>
      <xdr:col>9</xdr:col>
      <xdr:colOff>419100</xdr:colOff>
      <xdr:row>94</xdr:row>
      <xdr:rowOff>63500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81D75BBF-B8D9-BC48-937D-2BE97C3D2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520700</xdr:colOff>
      <xdr:row>76</xdr:row>
      <xdr:rowOff>12700</xdr:rowOff>
    </xdr:from>
    <xdr:to>
      <xdr:col>17</xdr:col>
      <xdr:colOff>558800</xdr:colOff>
      <xdr:row>94</xdr:row>
      <xdr:rowOff>50800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CB9FA148-38EE-7A4F-93B7-A04BD0111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508000</xdr:colOff>
      <xdr:row>145</xdr:row>
      <xdr:rowOff>25400</xdr:rowOff>
    </xdr:from>
    <xdr:to>
      <xdr:col>17</xdr:col>
      <xdr:colOff>546100</xdr:colOff>
      <xdr:row>160</xdr:row>
      <xdr:rowOff>190500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35ED86F-2832-0647-A804-AFAC9426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190500</xdr:colOff>
      <xdr:row>54</xdr:row>
      <xdr:rowOff>25400</xdr:rowOff>
    </xdr:from>
    <xdr:to>
      <xdr:col>9</xdr:col>
      <xdr:colOff>482600</xdr:colOff>
      <xdr:row>71</xdr:row>
      <xdr:rowOff>114300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68972F25-864C-0741-8664-A45744977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546100</xdr:colOff>
      <xdr:row>54</xdr:row>
      <xdr:rowOff>25400</xdr:rowOff>
    </xdr:from>
    <xdr:to>
      <xdr:col>17</xdr:col>
      <xdr:colOff>571500</xdr:colOff>
      <xdr:row>71</xdr:row>
      <xdr:rowOff>114300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445F3DDE-D04D-3147-A0C6-E3C49C6A4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27</xdr:row>
      <xdr:rowOff>38100</xdr:rowOff>
    </xdr:from>
    <xdr:to>
      <xdr:col>9</xdr:col>
      <xdr:colOff>736600</xdr:colOff>
      <xdr:row>45</xdr:row>
      <xdr:rowOff>127000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59DA389A-BEEC-5046-8CC6-E78E56AE5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48</xdr:row>
      <xdr:rowOff>25400</xdr:rowOff>
    </xdr:from>
    <xdr:to>
      <xdr:col>9</xdr:col>
      <xdr:colOff>723900</xdr:colOff>
      <xdr:row>65</xdr:row>
      <xdr:rowOff>165100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9857FD1B-ECFB-7E40-9D71-557BF75E4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177800</xdr:colOff>
      <xdr:row>69</xdr:row>
      <xdr:rowOff>12700</xdr:rowOff>
    </xdr:from>
    <xdr:to>
      <xdr:col>9</xdr:col>
      <xdr:colOff>711200</xdr:colOff>
      <xdr:row>86</xdr:row>
      <xdr:rowOff>152400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63385B8A-E1B4-624F-96F7-4AB26411D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139700</xdr:colOff>
      <xdr:row>89</xdr:row>
      <xdr:rowOff>38100</xdr:rowOff>
    </xdr:from>
    <xdr:to>
      <xdr:col>9</xdr:col>
      <xdr:colOff>711200</xdr:colOff>
      <xdr:row>107</xdr:row>
      <xdr:rowOff>38100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8A929084-23AB-6F4E-8F3E-71F2C3938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41B12-9089-AE49-A8E3-604B8BD09084}">
  <sheetPr>
    <tabColor theme="1"/>
  </sheetPr>
  <dimension ref="A1:H153"/>
  <sheetViews>
    <sheetView tabSelected="1" zoomScaleNormal="100" workbookViewId="0"/>
  </sheetViews>
  <sheetFormatPr baseColWidth="10" defaultColWidth="10.6640625" defaultRowHeight="16" x14ac:dyDescent="0.2"/>
  <cols>
    <col min="1" max="1" width="43.83203125" customWidth="1"/>
    <col min="2" max="2" width="16.33203125" customWidth="1"/>
    <col min="3" max="3" width="8.1640625" customWidth="1"/>
    <col min="4" max="4" width="16" customWidth="1"/>
  </cols>
  <sheetData>
    <row r="1" spans="1:8" ht="31" x14ac:dyDescent="0.35">
      <c r="A1" s="127" t="s">
        <v>628</v>
      </c>
      <c r="B1" s="126">
        <f>'Glass bot.'!C1+'Glass jars'!C1+'PET bot.'!C1+'Non-PET'!C1+'Plastic bags'!C1+TetraPak!C1+'Steel cans'!C1+'Alu cans'!C1</f>
        <v>20047</v>
      </c>
      <c r="C1" s="73"/>
      <c r="D1" s="321">
        <f>'Glass bot.'!E1+'Glass jars'!E1+'PET bot.'!E1+'Non-PET'!E1+'Plastic bags'!E1+TetraPak!E1+'Steel cans'!E1+'Alu cans'!E1</f>
        <v>2139.5020000000004</v>
      </c>
      <c r="E1" s="107" t="s">
        <v>236</v>
      </c>
    </row>
    <row r="2" spans="1:8" ht="17" thickBot="1" x14ac:dyDescent="0.25"/>
    <row r="3" spans="1:8" x14ac:dyDescent="0.2">
      <c r="A3" s="416" t="s">
        <v>635</v>
      </c>
      <c r="B3" s="417"/>
      <c r="C3" s="417"/>
      <c r="D3" s="417"/>
      <c r="E3" s="418"/>
      <c r="F3" s="81"/>
      <c r="G3" s="81"/>
      <c r="H3" s="81"/>
    </row>
    <row r="4" spans="1:8" x14ac:dyDescent="0.2">
      <c r="A4" s="213" t="s">
        <v>640</v>
      </c>
      <c r="B4" s="208" t="s">
        <v>614</v>
      </c>
      <c r="C4" s="288"/>
      <c r="D4" s="214" t="s">
        <v>617</v>
      </c>
      <c r="E4" s="215"/>
      <c r="F4" s="81"/>
      <c r="G4" s="81"/>
      <c r="H4" s="81"/>
    </row>
    <row r="5" spans="1:8" x14ac:dyDescent="0.2">
      <c r="A5" s="79" t="s">
        <v>637</v>
      </c>
      <c r="B5" s="234">
        <f>B26+B27+B30</f>
        <v>13562</v>
      </c>
      <c r="C5" s="227">
        <f>B5/$B$1</f>
        <v>0.67651020102758519</v>
      </c>
      <c r="D5" s="234">
        <f>D26+D27+D30</f>
        <v>494.71799999999985</v>
      </c>
      <c r="E5" s="231">
        <f>D5/$D$1</f>
        <v>0.2312304452157557</v>
      </c>
      <c r="F5" s="81"/>
      <c r="G5" s="81"/>
      <c r="H5" s="81"/>
    </row>
    <row r="6" spans="1:8" x14ac:dyDescent="0.2">
      <c r="A6" s="79" t="s">
        <v>638</v>
      </c>
      <c r="B6" s="234">
        <f>B28+B32</f>
        <v>3734</v>
      </c>
      <c r="C6" s="227">
        <f>B6/$B$1</f>
        <v>0.18626228363346137</v>
      </c>
      <c r="D6" s="234">
        <f>D28+D32</f>
        <v>1569.6290000000004</v>
      </c>
      <c r="E6" s="231">
        <f>D6/$D$1</f>
        <v>0.73364222141414215</v>
      </c>
      <c r="F6" s="81"/>
      <c r="G6" s="81"/>
      <c r="H6" s="81"/>
    </row>
    <row r="7" spans="1:8" x14ac:dyDescent="0.2">
      <c r="A7" s="79" t="s">
        <v>639</v>
      </c>
      <c r="B7" s="234">
        <f>B29+B33</f>
        <v>1879</v>
      </c>
      <c r="C7" s="227">
        <f>B7/$B$1</f>
        <v>9.3729735122462216E-2</v>
      </c>
      <c r="D7" s="234">
        <f>D29+D33</f>
        <v>40.274999999999999</v>
      </c>
      <c r="E7" s="231">
        <f>D7/$D$1</f>
        <v>1.8824474106591157E-2</v>
      </c>
      <c r="F7" s="81"/>
      <c r="G7" s="81"/>
      <c r="H7" s="81"/>
    </row>
    <row r="8" spans="1:8" ht="17" thickBot="1" x14ac:dyDescent="0.25">
      <c r="A8" s="84" t="s">
        <v>632</v>
      </c>
      <c r="B8" s="241">
        <f>B31</f>
        <v>872</v>
      </c>
      <c r="C8" s="229">
        <f>B8/$B$1</f>
        <v>4.3497780216491248E-2</v>
      </c>
      <c r="D8" s="241">
        <f>D31</f>
        <v>34.880000000000003</v>
      </c>
      <c r="E8" s="233">
        <f>D8/$D$1</f>
        <v>1.6302859263510851E-2</v>
      </c>
      <c r="F8" s="81"/>
      <c r="G8" s="81"/>
      <c r="H8" s="81"/>
    </row>
    <row r="9" spans="1:8" x14ac:dyDescent="0.2">
      <c r="A9" s="82"/>
      <c r="B9" s="226">
        <f>SUM(B5:B8)-B1</f>
        <v>0</v>
      </c>
      <c r="C9" s="78"/>
      <c r="D9" s="226">
        <f>SUM(D5:D8)-D1</f>
        <v>0</v>
      </c>
      <c r="E9" s="78"/>
      <c r="F9" s="81"/>
      <c r="G9" s="81"/>
      <c r="H9" s="81"/>
    </row>
    <row r="10" spans="1:8" x14ac:dyDescent="0.2">
      <c r="A10" s="76"/>
      <c r="B10" s="82"/>
      <c r="C10" s="78"/>
      <c r="D10" s="228"/>
      <c r="E10" s="78"/>
      <c r="F10" s="81"/>
      <c r="G10" s="81"/>
      <c r="H10" s="81"/>
    </row>
    <row r="11" spans="1:8" x14ac:dyDescent="0.2">
      <c r="A11" s="76"/>
      <c r="B11" s="82"/>
      <c r="C11" s="78"/>
      <c r="D11" s="228"/>
      <c r="E11" s="78"/>
      <c r="F11" s="81"/>
      <c r="G11" s="81"/>
      <c r="H11" s="81"/>
    </row>
    <row r="12" spans="1:8" x14ac:dyDescent="0.2">
      <c r="A12" s="76"/>
      <c r="B12" s="82"/>
      <c r="C12" s="78"/>
      <c r="D12" s="228"/>
      <c r="E12" s="78"/>
      <c r="F12" s="81"/>
      <c r="G12" s="81"/>
      <c r="H12" s="81"/>
    </row>
    <row r="13" spans="1:8" x14ac:dyDescent="0.2">
      <c r="A13" s="76"/>
      <c r="B13" s="82"/>
      <c r="C13" s="78"/>
      <c r="D13" s="228"/>
      <c r="E13" s="78"/>
      <c r="F13" s="81"/>
      <c r="G13" s="81"/>
      <c r="H13" s="81"/>
    </row>
    <row r="14" spans="1:8" x14ac:dyDescent="0.2">
      <c r="A14" s="76" t="s">
        <v>129</v>
      </c>
      <c r="B14" s="82"/>
      <c r="C14" s="78"/>
      <c r="D14" s="228"/>
      <c r="E14" s="78"/>
      <c r="F14" s="81"/>
      <c r="G14" s="81"/>
      <c r="H14" s="81"/>
    </row>
    <row r="15" spans="1:8" x14ac:dyDescent="0.2">
      <c r="A15" s="76"/>
      <c r="B15" s="82"/>
      <c r="C15" s="78"/>
      <c r="D15" s="228"/>
      <c r="E15" s="78"/>
      <c r="F15" s="81"/>
      <c r="G15" s="81"/>
      <c r="H15" s="81"/>
    </row>
    <row r="16" spans="1:8" x14ac:dyDescent="0.2">
      <c r="A16" s="76"/>
      <c r="B16" s="82"/>
      <c r="C16" s="78"/>
      <c r="D16" s="228"/>
      <c r="E16" s="78"/>
      <c r="F16" s="81"/>
      <c r="G16" s="81"/>
      <c r="H16" s="81"/>
    </row>
    <row r="17" spans="1:8" x14ac:dyDescent="0.2">
      <c r="A17" s="76"/>
      <c r="B17" s="82"/>
      <c r="C17" s="78"/>
      <c r="D17" s="228"/>
      <c r="E17" s="78"/>
      <c r="F17" s="81"/>
      <c r="G17" s="81"/>
      <c r="H17" s="81"/>
    </row>
    <row r="18" spans="1:8" x14ac:dyDescent="0.2">
      <c r="A18" s="76"/>
      <c r="B18" s="82"/>
      <c r="C18" s="78"/>
      <c r="D18" s="228"/>
      <c r="E18" s="78"/>
      <c r="F18" s="81"/>
      <c r="G18" s="81"/>
      <c r="H18" s="81"/>
    </row>
    <row r="19" spans="1:8" x14ac:dyDescent="0.2">
      <c r="A19" s="76"/>
      <c r="B19" s="82"/>
      <c r="C19" s="78"/>
      <c r="D19" s="228"/>
      <c r="E19" s="78"/>
      <c r="F19" s="81"/>
      <c r="G19" s="81"/>
      <c r="H19" s="81"/>
    </row>
    <row r="20" spans="1:8" x14ac:dyDescent="0.2">
      <c r="A20" s="76"/>
      <c r="B20" s="82"/>
      <c r="C20" s="78"/>
      <c r="D20" s="228"/>
      <c r="E20" s="78"/>
      <c r="F20" s="81"/>
      <c r="G20" s="81"/>
      <c r="H20" s="81"/>
    </row>
    <row r="21" spans="1:8" x14ac:dyDescent="0.2">
      <c r="A21" s="82"/>
      <c r="B21" s="82"/>
      <c r="C21" s="83"/>
      <c r="D21" s="228"/>
      <c r="E21" s="78"/>
      <c r="F21" s="81"/>
      <c r="G21" s="81"/>
      <c r="H21" s="81"/>
    </row>
    <row r="22" spans="1:8" x14ac:dyDescent="0.2">
      <c r="A22" s="82"/>
      <c r="B22" s="82"/>
      <c r="C22" s="83"/>
      <c r="D22" s="228"/>
      <c r="E22" s="78"/>
      <c r="F22" s="81"/>
      <c r="G22" s="81"/>
      <c r="H22" s="81"/>
    </row>
    <row r="23" spans="1:8" ht="17" thickBot="1" x14ac:dyDescent="0.25">
      <c r="A23" s="76"/>
      <c r="B23" s="82"/>
      <c r="C23" s="78"/>
      <c r="D23" s="80"/>
      <c r="E23" s="81"/>
      <c r="F23" s="81"/>
      <c r="G23" s="81"/>
      <c r="H23" s="81"/>
    </row>
    <row r="24" spans="1:8" x14ac:dyDescent="0.2">
      <c r="A24" s="416" t="s">
        <v>636</v>
      </c>
      <c r="B24" s="417"/>
      <c r="C24" s="417"/>
      <c r="D24" s="417"/>
      <c r="E24" s="418"/>
      <c r="F24" s="81"/>
      <c r="G24" s="81"/>
      <c r="H24" s="81"/>
    </row>
    <row r="25" spans="1:8" x14ac:dyDescent="0.2">
      <c r="A25" s="213" t="s">
        <v>629</v>
      </c>
      <c r="B25" s="208" t="s">
        <v>614</v>
      </c>
      <c r="C25" s="209"/>
      <c r="D25" s="214" t="s">
        <v>617</v>
      </c>
      <c r="E25" s="215"/>
      <c r="F25" s="81"/>
      <c r="G25" s="81"/>
      <c r="H25" s="81"/>
    </row>
    <row r="26" spans="1:8" x14ac:dyDescent="0.2">
      <c r="A26" s="79" t="s">
        <v>630</v>
      </c>
      <c r="B26" s="234">
        <f>'PET bot.'!C1</f>
        <v>6674</v>
      </c>
      <c r="C26" s="227">
        <f t="shared" ref="C26:C32" si="0">B26/$B$1</f>
        <v>0.33291764353768644</v>
      </c>
      <c r="D26" s="230">
        <f>'PET bot.'!E1</f>
        <v>266.95999999999998</v>
      </c>
      <c r="E26" s="231">
        <f t="shared" ref="E26:E31" si="1">D26/$D$1</f>
        <v>0.1247767003723296</v>
      </c>
      <c r="F26" s="81"/>
      <c r="G26" s="81"/>
      <c r="H26" s="81"/>
    </row>
    <row r="27" spans="1:8" x14ac:dyDescent="0.2">
      <c r="A27" s="79" t="s">
        <v>295</v>
      </c>
      <c r="B27" s="234">
        <f>'Plastic bags'!C1</f>
        <v>5789</v>
      </c>
      <c r="C27" s="227">
        <f t="shared" si="0"/>
        <v>0.28877138723998602</v>
      </c>
      <c r="D27" s="230">
        <f>'Plastic bags'!E1</f>
        <v>173.8179999999999</v>
      </c>
      <c r="E27" s="231">
        <f t="shared" si="1"/>
        <v>8.124227039750366E-2</v>
      </c>
      <c r="F27" s="81"/>
      <c r="G27" s="81"/>
      <c r="H27" s="81"/>
    </row>
    <row r="28" spans="1:8" x14ac:dyDescent="0.2">
      <c r="A28" s="79" t="s">
        <v>624</v>
      </c>
      <c r="B28" s="234">
        <f>'Glass bot.'!C1</f>
        <v>3095</v>
      </c>
      <c r="C28" s="227">
        <f t="shared" si="0"/>
        <v>0.15438719010325735</v>
      </c>
      <c r="D28" s="230">
        <f>'Glass bot.'!E1</f>
        <v>1386.9990000000005</v>
      </c>
      <c r="E28" s="231">
        <f t="shared" si="1"/>
        <v>0.64828123553985939</v>
      </c>
      <c r="F28" s="81"/>
      <c r="G28" s="81"/>
      <c r="H28" s="81"/>
    </row>
    <row r="29" spans="1:8" x14ac:dyDescent="0.2">
      <c r="A29" s="79" t="s">
        <v>633</v>
      </c>
      <c r="B29" s="234">
        <f>'Alu cans'!C1</f>
        <v>1476</v>
      </c>
      <c r="C29" s="227">
        <f t="shared" si="0"/>
        <v>7.36269766049783E-2</v>
      </c>
      <c r="D29" s="230">
        <f>'Alu cans'!E1</f>
        <v>22.14</v>
      </c>
      <c r="E29" s="231">
        <f t="shared" si="1"/>
        <v>1.0348202525634469E-2</v>
      </c>
      <c r="F29" s="81"/>
      <c r="G29" s="81"/>
      <c r="H29" s="81"/>
    </row>
    <row r="30" spans="1:8" x14ac:dyDescent="0.2">
      <c r="A30" s="79" t="s">
        <v>631</v>
      </c>
      <c r="B30" s="234">
        <f>'Non-PET'!C1</f>
        <v>1099</v>
      </c>
      <c r="C30" s="227">
        <f t="shared" si="0"/>
        <v>5.4821170249912704E-2</v>
      </c>
      <c r="D30" s="230">
        <f>'Non-PET'!E1</f>
        <v>53.939999999999969</v>
      </c>
      <c r="E30" s="231">
        <f t="shared" si="1"/>
        <v>2.5211474445922442E-2</v>
      </c>
      <c r="F30" s="81"/>
      <c r="G30" s="81"/>
      <c r="H30" s="81"/>
    </row>
    <row r="31" spans="1:8" x14ac:dyDescent="0.2">
      <c r="A31" s="79" t="s">
        <v>632</v>
      </c>
      <c r="B31" s="234">
        <f>TetraPak!C1</f>
        <v>872</v>
      </c>
      <c r="C31" s="227">
        <f t="shared" si="0"/>
        <v>4.3497780216491248E-2</v>
      </c>
      <c r="D31" s="230">
        <f>TetraPak!E1</f>
        <v>34.880000000000003</v>
      </c>
      <c r="E31" s="231">
        <f t="shared" si="1"/>
        <v>1.6302859263510851E-2</v>
      </c>
      <c r="F31" s="81"/>
      <c r="G31" s="81"/>
      <c r="H31" s="81"/>
    </row>
    <row r="32" spans="1:8" x14ac:dyDescent="0.2">
      <c r="A32" s="79" t="s">
        <v>625</v>
      </c>
      <c r="B32" s="234">
        <f>'Glass jars'!C1</f>
        <v>639</v>
      </c>
      <c r="C32" s="227">
        <f t="shared" si="0"/>
        <v>3.187509353020402E-2</v>
      </c>
      <c r="D32" s="230">
        <f>'Glass jars'!E1</f>
        <v>182.63</v>
      </c>
      <c r="E32" s="231">
        <f t="shared" ref="E32:E33" si="2">D32/$D$1</f>
        <v>8.5360985874282869E-2</v>
      </c>
      <c r="F32" s="81"/>
      <c r="G32" s="81"/>
      <c r="H32" s="81"/>
    </row>
    <row r="33" spans="1:8" ht="17" thickBot="1" x14ac:dyDescent="0.25">
      <c r="A33" s="84" t="s">
        <v>634</v>
      </c>
      <c r="B33" s="241">
        <f>'Steel cans'!C1</f>
        <v>403</v>
      </c>
      <c r="C33" s="229">
        <f t="shared" ref="C33" si="3">B33/$B$1</f>
        <v>2.0102758517483912E-2</v>
      </c>
      <c r="D33" s="232">
        <f>'Steel cans'!E1</f>
        <v>18.134999999999998</v>
      </c>
      <c r="E33" s="233">
        <f t="shared" si="2"/>
        <v>8.4762715809566878E-3</v>
      </c>
      <c r="F33" s="81"/>
      <c r="G33" s="81"/>
      <c r="H33" s="81"/>
    </row>
    <row r="34" spans="1:8" x14ac:dyDescent="0.2">
      <c r="A34" s="82"/>
      <c r="B34" s="226">
        <f>SUM(B26:B33)-B1</f>
        <v>0</v>
      </c>
      <c r="C34" s="78"/>
      <c r="D34" s="226">
        <f>SUM(D26:D33)-D1</f>
        <v>0</v>
      </c>
      <c r="E34" s="78"/>
      <c r="F34" s="81"/>
      <c r="G34" s="81"/>
      <c r="H34" s="81"/>
    </row>
    <row r="35" spans="1:8" x14ac:dyDescent="0.2">
      <c r="A35" s="76"/>
      <c r="B35" s="82"/>
      <c r="C35" s="78"/>
      <c r="D35" s="228"/>
      <c r="E35" s="78"/>
      <c r="F35" s="81"/>
      <c r="G35" s="81"/>
      <c r="H35" s="81"/>
    </row>
    <row r="36" spans="1:8" x14ac:dyDescent="0.2">
      <c r="A36" s="76"/>
      <c r="B36" s="82"/>
      <c r="C36" s="78"/>
      <c r="D36" s="228"/>
      <c r="E36" s="78"/>
      <c r="F36" s="81"/>
      <c r="G36" s="81"/>
      <c r="H36" s="81"/>
    </row>
    <row r="37" spans="1:8" x14ac:dyDescent="0.2">
      <c r="A37" s="76"/>
      <c r="B37" s="82"/>
      <c r="C37" s="78"/>
      <c r="D37" s="228"/>
      <c r="E37" s="78"/>
      <c r="F37" s="81"/>
      <c r="G37" s="81"/>
      <c r="H37" s="81"/>
    </row>
    <row r="38" spans="1:8" x14ac:dyDescent="0.2">
      <c r="A38" s="76"/>
      <c r="B38" s="82"/>
      <c r="C38" s="78"/>
      <c r="D38" s="228"/>
      <c r="E38" s="78"/>
      <c r="F38" s="81"/>
      <c r="G38" s="81"/>
      <c r="H38" s="81"/>
    </row>
    <row r="39" spans="1:8" x14ac:dyDescent="0.2">
      <c r="A39" s="76"/>
      <c r="B39" s="82"/>
      <c r="C39" s="78"/>
      <c r="D39" s="228"/>
      <c r="E39" s="78"/>
      <c r="F39" s="81"/>
      <c r="G39" s="81"/>
      <c r="H39" s="81"/>
    </row>
    <row r="40" spans="1:8" x14ac:dyDescent="0.2">
      <c r="A40" s="76"/>
      <c r="B40" s="82"/>
      <c r="C40" s="78"/>
      <c r="D40" s="228"/>
      <c r="E40" s="78"/>
      <c r="F40" s="81"/>
      <c r="G40" s="81"/>
      <c r="H40" s="81"/>
    </row>
    <row r="41" spans="1:8" x14ac:dyDescent="0.2">
      <c r="A41" s="76"/>
      <c r="B41" s="82"/>
      <c r="C41" s="78"/>
      <c r="D41" s="228"/>
      <c r="E41" s="78"/>
      <c r="F41" s="81"/>
      <c r="G41" s="81"/>
      <c r="H41" s="81"/>
    </row>
    <row r="42" spans="1:8" x14ac:dyDescent="0.2">
      <c r="A42" s="76"/>
      <c r="B42" s="82"/>
      <c r="C42" s="78"/>
      <c r="D42" s="228"/>
      <c r="E42" s="78"/>
      <c r="F42" s="81"/>
      <c r="G42" s="81"/>
      <c r="H42" s="81"/>
    </row>
    <row r="43" spans="1:8" x14ac:dyDescent="0.2">
      <c r="A43" s="76"/>
      <c r="B43" s="82"/>
      <c r="C43" s="78"/>
      <c r="D43" s="228"/>
      <c r="E43" s="78"/>
      <c r="F43" s="81"/>
      <c r="G43" s="81"/>
      <c r="H43" s="81"/>
    </row>
    <row r="44" spans="1:8" x14ac:dyDescent="0.2">
      <c r="A44" s="76"/>
      <c r="B44" s="82"/>
      <c r="C44" s="78"/>
      <c r="D44" s="228"/>
      <c r="E44" s="78"/>
      <c r="F44" s="81"/>
      <c r="G44" s="81"/>
      <c r="H44" s="81"/>
    </row>
    <row r="45" spans="1:8" x14ac:dyDescent="0.2">
      <c r="A45" s="76"/>
      <c r="B45" s="82"/>
      <c r="C45" s="78"/>
      <c r="D45" s="228"/>
      <c r="E45" s="78"/>
      <c r="F45" s="81"/>
      <c r="G45" s="81"/>
      <c r="H45" s="81"/>
    </row>
    <row r="46" spans="1:8" x14ac:dyDescent="0.2">
      <c r="A46" s="82"/>
      <c r="B46" s="82"/>
      <c r="C46" s="83"/>
      <c r="D46" s="228"/>
      <c r="E46" s="78"/>
      <c r="F46" s="81"/>
      <c r="G46" s="81"/>
      <c r="H46" s="81"/>
    </row>
    <row r="47" spans="1:8" x14ac:dyDescent="0.2">
      <c r="A47" s="82"/>
      <c r="B47" s="82"/>
      <c r="C47" s="83"/>
      <c r="D47" s="228"/>
      <c r="E47" s="78"/>
      <c r="F47" s="81"/>
      <c r="G47" s="81"/>
      <c r="H47" s="81"/>
    </row>
    <row r="48" spans="1:8" ht="17" thickBot="1" x14ac:dyDescent="0.25">
      <c r="A48" s="76"/>
      <c r="B48" s="82"/>
      <c r="C48" s="78"/>
      <c r="D48" s="80"/>
      <c r="E48" s="81"/>
      <c r="F48" s="81"/>
      <c r="G48" s="81"/>
      <c r="H48" s="81"/>
    </row>
    <row r="49" spans="1:8" x14ac:dyDescent="0.2">
      <c r="A49" s="413" t="s">
        <v>719</v>
      </c>
      <c r="B49" s="414"/>
      <c r="C49" s="414"/>
      <c r="D49" s="414"/>
      <c r="E49" s="415"/>
      <c r="F49" s="81"/>
      <c r="G49" s="81"/>
      <c r="H49" s="81"/>
    </row>
    <row r="50" spans="1:8" x14ac:dyDescent="0.2">
      <c r="A50" s="213" t="s">
        <v>613</v>
      </c>
      <c r="B50" s="208" t="s">
        <v>614</v>
      </c>
      <c r="C50" s="335"/>
      <c r="D50" s="214" t="s">
        <v>617</v>
      </c>
      <c r="E50" s="215"/>
      <c r="F50" s="81"/>
      <c r="G50" s="81"/>
      <c r="H50" s="81"/>
    </row>
    <row r="51" spans="1:8" x14ac:dyDescent="0.2">
      <c r="A51" s="79" t="str">
        <f>'TOT. GLASS'!A7</f>
        <v>APU</v>
      </c>
      <c r="B51" s="234">
        <f>'TOT. GLASS'!B7+'TOT. PLASTIC'!B9+'TOT. METAL'!B7+TetraPak!B40</f>
        <v>4503</v>
      </c>
      <c r="C51" s="227">
        <f>B51/$B$1</f>
        <v>0.22462213797575697</v>
      </c>
      <c r="D51" s="234">
        <f>'TOT. GLASS'!D7+'TOT. PLASTIC'!D9+'TOT. METAL'!D7+TetraPak!D40</f>
        <v>982.94800000000043</v>
      </c>
      <c r="E51" s="210">
        <f>D51/D$1</f>
        <v>0.45942840904098253</v>
      </c>
      <c r="F51" s="81"/>
      <c r="G51" s="81"/>
      <c r="H51" s="81"/>
    </row>
    <row r="52" spans="1:8" x14ac:dyDescent="0.2">
      <c r="A52" s="79" t="str">
        <f>'TOT. PLASTIC'!A7</f>
        <v>MCS</v>
      </c>
      <c r="B52" s="234">
        <f>'TOT. PLASTIC'!B7+'TOT. METAL'!B8+TetraPak!B44</f>
        <v>2950</v>
      </c>
      <c r="C52" s="227">
        <f>B52/$B$1</f>
        <v>0.14715418765900135</v>
      </c>
      <c r="D52" s="234">
        <f>'TOT. PLASTIC'!D7+'TOT. METAL'!D8+TetraPak!D44</f>
        <v>117.14299999999997</v>
      </c>
      <c r="E52" s="210">
        <f>D52/D$1</f>
        <v>5.4752461086738854E-2</v>
      </c>
      <c r="F52" s="81"/>
      <c r="G52" s="81"/>
      <c r="H52" s="81"/>
    </row>
    <row r="53" spans="1:8" x14ac:dyDescent="0.2">
      <c r="A53" s="79" t="str">
        <f>'TOT. PLASTIC'!A8</f>
        <v>Vitafit</v>
      </c>
      <c r="B53" s="234">
        <f>'TOT. PLASTIC'!B8+TetraPak!B41</f>
        <v>1433</v>
      </c>
      <c r="C53" s="227">
        <f>B53/$B$1</f>
        <v>7.1482017259440311E-2</v>
      </c>
      <c r="D53" s="234">
        <f>'TOT. PLASTIC'!D8+TetraPak!D41</f>
        <v>59.224999999999994</v>
      </c>
      <c r="E53" s="210">
        <f>D53/D$1</f>
        <v>2.7681675455316229E-2</v>
      </c>
      <c r="F53" s="81"/>
      <c r="G53" s="81"/>
      <c r="H53" s="81"/>
    </row>
    <row r="54" spans="1:8" x14ac:dyDescent="0.2">
      <c r="A54" s="79" t="str">
        <f>'TOT. GLASS'!A8</f>
        <v>GEM</v>
      </c>
      <c r="B54" s="234">
        <f>'TOT. GLASS'!B8</f>
        <v>499</v>
      </c>
      <c r="C54" s="227">
        <f t="shared" ref="C54:C57" si="4">B54/$B$1</f>
        <v>2.4891504963336159E-2</v>
      </c>
      <c r="D54" s="234">
        <f>'TOT. GLASS'!D8</f>
        <v>266.81</v>
      </c>
      <c r="E54" s="210">
        <f t="shared" ref="E54:E57" si="5">D54/D$1</f>
        <v>0.1247065905991207</v>
      </c>
      <c r="F54" s="81"/>
      <c r="G54" s="81"/>
      <c r="H54" s="81"/>
    </row>
    <row r="55" spans="1:8" x14ac:dyDescent="0.2">
      <c r="A55" s="79" t="str">
        <f>'TOT. PLASTIC'!A10</f>
        <v>GN Beverages LLC</v>
      </c>
      <c r="B55" s="234">
        <f>'TOT. PLASTIC'!B10+'Alu cans'!C19</f>
        <v>263</v>
      </c>
      <c r="C55" s="227">
        <f>B55/$B$1</f>
        <v>1.3119169950616053E-2</v>
      </c>
      <c r="D55" s="234">
        <f>'TOT. PLASTIC'!D10+'Alu cans'!I19</f>
        <v>10.445</v>
      </c>
      <c r="E55" s="210">
        <f>D55/D$1</f>
        <v>4.8819772077801273E-3</v>
      </c>
      <c r="F55" s="81"/>
      <c r="G55" s="81"/>
      <c r="H55" s="81"/>
    </row>
    <row r="56" spans="1:8" x14ac:dyDescent="0.2">
      <c r="A56" s="79" t="str">
        <f>'TOT. GLASS'!A9</f>
        <v>Khikh LLC</v>
      </c>
      <c r="B56" s="234">
        <f>'TOT. GLASS'!B9</f>
        <v>308</v>
      </c>
      <c r="C56" s="227">
        <f t="shared" si="4"/>
        <v>1.5363894847109294E-2</v>
      </c>
      <c r="D56" s="234">
        <f>'TOT. GLASS'!D9</f>
        <v>40.963999999999999</v>
      </c>
      <c r="E56" s="231">
        <f>D56/D$1</f>
        <v>1.9146511664864061E-2</v>
      </c>
      <c r="F56" s="81"/>
      <c r="G56" s="81"/>
      <c r="H56" s="81"/>
    </row>
    <row r="57" spans="1:8" ht="17" thickBot="1" x14ac:dyDescent="0.25">
      <c r="A57" s="84" t="s">
        <v>720</v>
      </c>
      <c r="B57" s="241">
        <f>B1-SUM(B51:B56)</f>
        <v>10091</v>
      </c>
      <c r="C57" s="229">
        <f t="shared" si="4"/>
        <v>0.50336708734473989</v>
      </c>
      <c r="D57" s="241">
        <f>D1-SUM(D51:D56)</f>
        <v>661.96700000000033</v>
      </c>
      <c r="E57" s="212">
        <f t="shared" si="5"/>
        <v>0.30940237494519762</v>
      </c>
      <c r="F57" s="81"/>
      <c r="G57" s="81"/>
      <c r="H57" s="81"/>
    </row>
    <row r="58" spans="1:8" x14ac:dyDescent="0.2">
      <c r="A58" s="82"/>
      <c r="B58" s="226">
        <f>SUM(B51:B57)-$B$1</f>
        <v>0</v>
      </c>
      <c r="C58" s="78"/>
      <c r="D58" s="226">
        <f>SUM(D51:D57)-D1</f>
        <v>0</v>
      </c>
      <c r="E58" s="78"/>
      <c r="F58" s="81"/>
      <c r="G58" s="81"/>
      <c r="H58" s="81"/>
    </row>
    <row r="59" spans="1:8" x14ac:dyDescent="0.2">
      <c r="A59" s="76"/>
      <c r="B59" s="82"/>
      <c r="C59" s="78"/>
      <c r="D59" s="228"/>
      <c r="E59" s="78"/>
      <c r="F59" s="81"/>
      <c r="G59" s="81"/>
      <c r="H59" s="81"/>
    </row>
    <row r="60" spans="1:8" x14ac:dyDescent="0.2">
      <c r="A60" s="76"/>
      <c r="B60" s="82"/>
      <c r="C60" s="78"/>
      <c r="D60" s="228"/>
      <c r="E60" s="78"/>
      <c r="F60" s="81"/>
      <c r="G60" s="81"/>
      <c r="H60" s="81"/>
    </row>
    <row r="61" spans="1:8" x14ac:dyDescent="0.2">
      <c r="A61" s="76"/>
      <c r="B61" s="82"/>
      <c r="C61" s="78"/>
      <c r="D61" s="228"/>
      <c r="E61" s="78"/>
      <c r="F61" s="81"/>
      <c r="G61" s="81"/>
      <c r="H61" s="81"/>
    </row>
    <row r="62" spans="1:8" x14ac:dyDescent="0.2">
      <c r="A62" s="76"/>
      <c r="B62" s="350"/>
      <c r="C62" s="78"/>
      <c r="D62" s="228"/>
      <c r="E62" s="78"/>
      <c r="F62" s="81"/>
      <c r="G62" s="81"/>
      <c r="H62" s="81"/>
    </row>
    <row r="63" spans="1:8" x14ac:dyDescent="0.2">
      <c r="A63" s="76"/>
      <c r="B63" s="82"/>
      <c r="C63" s="78"/>
      <c r="D63" s="228"/>
      <c r="E63" s="78"/>
      <c r="F63" s="81"/>
      <c r="G63" s="81"/>
      <c r="H63" s="81"/>
    </row>
    <row r="64" spans="1:8" x14ac:dyDescent="0.2">
      <c r="A64" s="76"/>
      <c r="B64" s="82"/>
      <c r="C64" s="78"/>
      <c r="D64" s="228"/>
      <c r="E64" s="78"/>
      <c r="F64" s="81"/>
      <c r="G64" s="81"/>
      <c r="H64" s="81"/>
    </row>
    <row r="65" spans="1:8" x14ac:dyDescent="0.2">
      <c r="A65" s="76"/>
      <c r="B65" s="82"/>
      <c r="C65" s="78"/>
      <c r="D65" s="228"/>
      <c r="E65" s="78"/>
      <c r="F65" s="81"/>
      <c r="G65" s="81"/>
      <c r="H65" s="81"/>
    </row>
    <row r="66" spans="1:8" x14ac:dyDescent="0.2">
      <c r="A66" s="76"/>
      <c r="B66" s="82"/>
      <c r="C66" s="78"/>
      <c r="D66" s="228"/>
      <c r="E66" s="78"/>
      <c r="F66" s="81"/>
      <c r="G66" s="81"/>
      <c r="H66" s="81"/>
    </row>
    <row r="67" spans="1:8" x14ac:dyDescent="0.2">
      <c r="A67" s="76"/>
      <c r="B67" s="82"/>
      <c r="C67" s="78"/>
      <c r="D67" s="228"/>
      <c r="E67" s="78"/>
      <c r="F67" s="81"/>
      <c r="G67" s="81"/>
      <c r="H67" s="81"/>
    </row>
    <row r="68" spans="1:8" x14ac:dyDescent="0.2">
      <c r="A68" s="76"/>
      <c r="B68" s="82"/>
      <c r="C68" s="78"/>
      <c r="D68" s="228"/>
      <c r="E68" s="78"/>
      <c r="F68" s="81"/>
      <c r="G68" s="81"/>
      <c r="H68" s="81"/>
    </row>
    <row r="69" spans="1:8" x14ac:dyDescent="0.2">
      <c r="A69" s="76"/>
      <c r="B69" s="82"/>
      <c r="C69" s="78"/>
      <c r="D69" s="228"/>
      <c r="E69" s="78"/>
      <c r="F69" s="81"/>
      <c r="G69" s="81"/>
      <c r="H69" s="81"/>
    </row>
    <row r="70" spans="1:8" x14ac:dyDescent="0.2">
      <c r="A70" s="82"/>
      <c r="B70" s="82"/>
      <c r="C70" s="83"/>
      <c r="D70" s="228"/>
      <c r="E70" s="78"/>
      <c r="F70" s="81"/>
      <c r="G70" s="81"/>
      <c r="H70" s="81"/>
    </row>
    <row r="71" spans="1:8" x14ac:dyDescent="0.2">
      <c r="A71" s="76"/>
      <c r="B71" s="82"/>
      <c r="C71" s="78"/>
      <c r="D71" s="80"/>
      <c r="E71" s="81"/>
      <c r="F71" s="81"/>
      <c r="G71" s="81"/>
      <c r="H71" s="81"/>
    </row>
    <row r="72" spans="1:8" ht="17" thickBot="1" x14ac:dyDescent="0.25"/>
    <row r="73" spans="1:8" x14ac:dyDescent="0.2">
      <c r="A73" s="416" t="s">
        <v>661</v>
      </c>
      <c r="B73" s="417"/>
      <c r="C73" s="417"/>
      <c r="D73" s="417"/>
      <c r="E73" s="418"/>
      <c r="F73" s="81"/>
      <c r="G73" s="81"/>
      <c r="H73" s="81"/>
    </row>
    <row r="74" spans="1:8" x14ac:dyDescent="0.2">
      <c r="A74" s="213" t="s">
        <v>662</v>
      </c>
      <c r="B74" s="208" t="s">
        <v>614</v>
      </c>
      <c r="C74" s="300"/>
      <c r="D74" s="214" t="s">
        <v>617</v>
      </c>
      <c r="E74" s="215"/>
      <c r="F74" s="81"/>
      <c r="G74" s="81"/>
      <c r="H74" s="81"/>
    </row>
    <row r="75" spans="1:8" x14ac:dyDescent="0.2">
      <c r="A75" s="326" t="s">
        <v>663</v>
      </c>
      <c r="B75" s="234">
        <f>B98+B100+B101+B103+B104+B107+B113+B115+B121</f>
        <v>11736</v>
      </c>
      <c r="C75" s="227">
        <f>B75/B$1</f>
        <v>0.58542425300543721</v>
      </c>
      <c r="D75" s="234">
        <f>D98+D100+D101+D103+D104+D107+D113+D115+D121</f>
        <v>1682.8555000000006</v>
      </c>
      <c r="E75" s="231">
        <f>D75/D$1</f>
        <v>0.78656411632239664</v>
      </c>
      <c r="F75" s="81"/>
      <c r="H75" s="81"/>
    </row>
    <row r="76" spans="1:8" x14ac:dyDescent="0.2">
      <c r="A76" s="236" t="s">
        <v>664</v>
      </c>
      <c r="B76" s="234">
        <f>B99+B106+B110+B111+B112</f>
        <v>4165</v>
      </c>
      <c r="C76" s="227">
        <f t="shared" ref="C76:E79" si="6">B76/B$1</f>
        <v>0.20776175986431886</v>
      </c>
      <c r="D76" s="234">
        <f>D99+D106+D110+D111+D112</f>
        <v>302.86249999999995</v>
      </c>
      <c r="E76" s="231">
        <f t="shared" si="6"/>
        <v>0.14155747458988116</v>
      </c>
      <c r="F76" s="81"/>
      <c r="H76" s="81"/>
    </row>
    <row r="77" spans="1:8" x14ac:dyDescent="0.2">
      <c r="A77" s="237" t="s">
        <v>698</v>
      </c>
      <c r="B77" s="234">
        <f>B108+B114+B116+B117+B120+B122+B123</f>
        <v>968</v>
      </c>
      <c r="C77" s="227">
        <f t="shared" si="6"/>
        <v>4.8286526662343496E-2</v>
      </c>
      <c r="D77" s="234">
        <f>D108+D114+D116+D117+D120+D122+D123</f>
        <v>52.124499999999998</v>
      </c>
      <c r="E77" s="231">
        <f t="shared" si="6"/>
        <v>2.436291249085067E-2</v>
      </c>
      <c r="F77" s="81"/>
      <c r="H77" s="81"/>
    </row>
    <row r="78" spans="1:8" x14ac:dyDescent="0.2">
      <c r="A78" s="238" t="s">
        <v>293</v>
      </c>
      <c r="B78" s="234">
        <f>B102+B105+B109+B119</f>
        <v>3068</v>
      </c>
      <c r="C78" s="227">
        <f t="shared" si="6"/>
        <v>0.15304035516536141</v>
      </c>
      <c r="D78" s="234">
        <f>D102+D105+D109+D119</f>
        <v>92.859499999999997</v>
      </c>
      <c r="E78" s="231">
        <f t="shared" si="6"/>
        <v>4.3402389901949133E-2</v>
      </c>
      <c r="F78" s="81"/>
      <c r="H78" s="81"/>
    </row>
    <row r="79" spans="1:8" ht="17" thickBot="1" x14ac:dyDescent="0.25">
      <c r="A79" s="330" t="s">
        <v>690</v>
      </c>
      <c r="B79" s="241">
        <f>B118</f>
        <v>110</v>
      </c>
      <c r="C79" s="229">
        <f t="shared" si="6"/>
        <v>5.4871053025390337E-3</v>
      </c>
      <c r="D79" s="241">
        <f>D118</f>
        <v>8.8000000000000007</v>
      </c>
      <c r="E79" s="233">
        <f t="shared" si="6"/>
        <v>4.1131066949224625E-3</v>
      </c>
      <c r="F79" s="81"/>
      <c r="H79" s="81"/>
    </row>
    <row r="80" spans="1:8" x14ac:dyDescent="0.2">
      <c r="A80" s="76"/>
      <c r="B80" s="77">
        <f>SUM(B75:B79)-B1</f>
        <v>0</v>
      </c>
      <c r="C80" s="239"/>
      <c r="D80" s="77">
        <f>SUM(D75:D79)-D1</f>
        <v>0</v>
      </c>
      <c r="E80" s="239"/>
      <c r="F80" s="81"/>
      <c r="H80" s="81"/>
    </row>
    <row r="81" spans="1:8" x14ac:dyDescent="0.2">
      <c r="A81" s="76"/>
      <c r="B81" s="82"/>
      <c r="C81" s="239"/>
      <c r="D81" s="240"/>
      <c r="E81" s="239"/>
      <c r="F81" s="81"/>
      <c r="H81" s="81"/>
    </row>
    <row r="82" spans="1:8" x14ac:dyDescent="0.2">
      <c r="A82" s="76"/>
      <c r="B82" s="82"/>
      <c r="C82" s="239"/>
      <c r="D82" s="240"/>
      <c r="E82" s="239"/>
      <c r="F82" s="81"/>
      <c r="H82" s="81"/>
    </row>
    <row r="83" spans="1:8" x14ac:dyDescent="0.2">
      <c r="A83" s="76"/>
      <c r="B83" s="82"/>
      <c r="C83" s="239"/>
      <c r="D83" s="240"/>
      <c r="E83" s="239"/>
      <c r="F83" s="81"/>
      <c r="H83" s="81"/>
    </row>
    <row r="84" spans="1:8" x14ac:dyDescent="0.2">
      <c r="A84" s="76"/>
      <c r="B84" s="82"/>
      <c r="C84" s="239"/>
      <c r="D84" s="240"/>
      <c r="E84" s="239"/>
      <c r="F84" s="81"/>
      <c r="H84" s="81"/>
    </row>
    <row r="85" spans="1:8" x14ac:dyDescent="0.2">
      <c r="A85" s="76"/>
      <c r="B85" s="82"/>
      <c r="C85" s="239"/>
      <c r="D85" s="240"/>
      <c r="E85" s="239"/>
      <c r="F85" s="81"/>
      <c r="H85" s="81"/>
    </row>
    <row r="86" spans="1:8" x14ac:dyDescent="0.2">
      <c r="A86" s="76"/>
      <c r="B86" s="82"/>
      <c r="C86" s="239"/>
      <c r="D86" s="240"/>
      <c r="E86" s="239"/>
      <c r="F86" s="81"/>
      <c r="H86" s="81"/>
    </row>
    <row r="87" spans="1:8" x14ac:dyDescent="0.2">
      <c r="A87" s="76"/>
      <c r="B87" s="82"/>
      <c r="C87" s="239"/>
      <c r="D87" s="240"/>
      <c r="E87" s="239"/>
      <c r="F87" s="81"/>
      <c r="H87" s="81"/>
    </row>
    <row r="88" spans="1:8" x14ac:dyDescent="0.2">
      <c r="A88" s="76"/>
      <c r="B88" s="82"/>
      <c r="C88" s="239"/>
      <c r="D88" s="240"/>
      <c r="E88" s="239"/>
      <c r="F88" s="81"/>
      <c r="H88" s="81"/>
    </row>
    <row r="89" spans="1:8" x14ac:dyDescent="0.2">
      <c r="A89" s="76"/>
      <c r="B89" s="82"/>
      <c r="C89" s="239"/>
      <c r="D89" s="240"/>
      <c r="E89" s="239"/>
      <c r="F89" s="81"/>
      <c r="H89" s="81"/>
    </row>
    <row r="90" spans="1:8" x14ac:dyDescent="0.2">
      <c r="A90" s="76"/>
      <c r="B90" s="226"/>
      <c r="C90" s="78"/>
      <c r="D90" s="226"/>
      <c r="E90" s="78"/>
      <c r="F90" s="81"/>
      <c r="H90" s="81"/>
    </row>
    <row r="91" spans="1:8" x14ac:dyDescent="0.2">
      <c r="A91" s="76"/>
      <c r="B91" s="82"/>
      <c r="C91" s="78"/>
      <c r="D91" s="228"/>
      <c r="E91" s="78"/>
      <c r="F91" s="81"/>
      <c r="H91" s="81"/>
    </row>
    <row r="92" spans="1:8" x14ac:dyDescent="0.2">
      <c r="A92" s="76"/>
      <c r="B92" s="82"/>
      <c r="C92" s="78"/>
      <c r="D92" s="228"/>
      <c r="E92" s="78"/>
      <c r="F92" s="81"/>
      <c r="H92" s="81"/>
    </row>
    <row r="93" spans="1:8" x14ac:dyDescent="0.2">
      <c r="A93" s="83"/>
      <c r="B93" s="83"/>
      <c r="C93" s="83"/>
      <c r="D93" s="83"/>
      <c r="E93" s="83"/>
    </row>
    <row r="95" spans="1:8" ht="17" thickBot="1" x14ac:dyDescent="0.25"/>
    <row r="96" spans="1:8" x14ac:dyDescent="0.2">
      <c r="A96" s="416" t="s">
        <v>665</v>
      </c>
      <c r="B96" s="417"/>
      <c r="C96" s="417"/>
      <c r="D96" s="417"/>
      <c r="E96" s="418"/>
      <c r="F96" s="81"/>
      <c r="G96" s="81"/>
      <c r="H96" s="81"/>
    </row>
    <row r="97" spans="1:8" x14ac:dyDescent="0.2">
      <c r="A97" s="213" t="s">
        <v>666</v>
      </c>
      <c r="B97" s="208" t="s">
        <v>614</v>
      </c>
      <c r="C97" s="300"/>
      <c r="D97" s="214" t="s">
        <v>617</v>
      </c>
      <c r="E97" s="215"/>
      <c r="F97" s="81"/>
      <c r="G97" s="81"/>
      <c r="H97" s="81"/>
    </row>
    <row r="98" spans="1:8" x14ac:dyDescent="0.2">
      <c r="A98" s="326" t="s">
        <v>22</v>
      </c>
      <c r="B98" s="234">
        <f>SUMIF('TOT. GLASS'!$A$53:$A$65,OVERALL!$A98,'TOT. GLASS'!B$53:B$65)+SUMIF('TOT. PLASTIC'!$A$101:$A$121,OVERALL!$A98,'TOT. PLASTIC'!B$101:B$121)+SUMIF('TOT. METAL'!$A$48:$A$53,OVERALL!$A98,'TOT. METAL'!B$48:B$53)+SUMIF(TetraPak!$A$59:$A$61,OVERALL!$A98,TetraPak!B$59:B$61)</f>
        <v>3843</v>
      </c>
      <c r="C98" s="227">
        <f t="shared" ref="C98:C105" si="7">B98/$B$1</f>
        <v>0.19169950616052278</v>
      </c>
      <c r="D98" s="324">
        <f>SUMIF('TOT. GLASS'!$A$53:$A$65,OVERALL!$A98,'TOT. GLASS'!D$53:D$65)+SUMIF('TOT. PLASTIC'!$A$101:$A$121,OVERALL!$A98,'TOT. PLASTIC'!D$101:D$121)+SUMIF('TOT. METAL'!$A$48:$A$53,OVERALL!$A98,'TOT. METAL'!D$48:D$53)+SUMIF(TetraPak!$A$59:$A$61,OVERALL!$A98,TetraPak!D$59:D$61)</f>
        <v>183.68900000000002</v>
      </c>
      <c r="E98" s="210">
        <f t="shared" ref="E98:E105" si="8">D98/$D$1</f>
        <v>8.5855960873137765E-2</v>
      </c>
      <c r="F98" s="81"/>
      <c r="G98" s="76"/>
      <c r="H98" s="81"/>
    </row>
    <row r="99" spans="1:8" x14ac:dyDescent="0.2">
      <c r="A99" s="236" t="s">
        <v>616</v>
      </c>
      <c r="B99" s="234">
        <f>SUMIF('TOT. GLASS'!$A$53:$A$65,OVERALL!$A99,'TOT. GLASS'!B$53:B$65)+SUMIF('TOT. PLASTIC'!$A$101:$A$121,OVERALL!$A99,'TOT. PLASTIC'!B$101:B$121)+SUMIF('TOT. METAL'!$A$48:$A$53,OVERALL!$A99,'TOT. METAL'!B$48:B$53)+SUMIF(TetraPak!$A$59:$A$61,OVERALL!$A99,TetraPak!B$59:B$61)</f>
        <v>2788</v>
      </c>
      <c r="C99" s="227">
        <f t="shared" si="7"/>
        <v>0.13907317803162567</v>
      </c>
      <c r="D99" s="324">
        <f>SUMIF('TOT. GLASS'!$A$53:$A$65,OVERALL!$A99,'TOT. GLASS'!D$53:D$65)+SUMIF('TOT. PLASTIC'!$A$101:$A$121,OVERALL!$A99,'TOT. PLASTIC'!D$101:D$121)+SUMIF('TOT. METAL'!$A$48:$A$53,OVERALL!$A99,'TOT. METAL'!D$48:D$53)+SUMIF(TetraPak!$A$59:$A$61,OVERALL!$A99,TetraPak!D$59:D$61)</f>
        <v>255.84150000000002</v>
      </c>
      <c r="E99" s="210">
        <f t="shared" si="8"/>
        <v>0.11957993028284152</v>
      </c>
      <c r="F99" s="81"/>
      <c r="G99" s="76"/>
      <c r="H99" s="81"/>
    </row>
    <row r="100" spans="1:8" x14ac:dyDescent="0.2">
      <c r="A100" s="326" t="s">
        <v>4</v>
      </c>
      <c r="B100" s="234">
        <f>SUMIF('TOT. GLASS'!$A$53:$A$65,OVERALL!$A100,'TOT. GLASS'!B$53:B$65)+SUMIF('TOT. PLASTIC'!$A$101:$A$121,OVERALL!$A100,'TOT. PLASTIC'!B$101:B$121)+SUMIF('TOT. METAL'!$A$48:$A$53,OVERALL!$A100,'TOT. METAL'!B$48:B$53)+SUMIF(TetraPak!$A$59:$A$61,OVERALL!$A100,TetraPak!B$59:B$61)</f>
        <v>2507</v>
      </c>
      <c r="C100" s="227">
        <f t="shared" si="7"/>
        <v>0.12505611812241232</v>
      </c>
      <c r="D100" s="324">
        <f>SUMIF('TOT. GLASS'!$A$53:$A$65,OVERALL!$A100,'TOT. GLASS'!D$53:D$65)+SUMIF('TOT. PLASTIC'!$A$101:$A$121,OVERALL!$A100,'TOT. PLASTIC'!D$101:D$121)+SUMIF('TOT. METAL'!$A$48:$A$53,OVERALL!$A100,'TOT. METAL'!D$48:D$53)+SUMIF(TetraPak!$A$59:$A$61,OVERALL!$A100,TetraPak!D$59:D$61)</f>
        <v>156.74000000000004</v>
      </c>
      <c r="E100" s="210">
        <f t="shared" si="8"/>
        <v>7.3260039018425788E-2</v>
      </c>
      <c r="F100" s="81"/>
      <c r="H100" s="81"/>
    </row>
    <row r="101" spans="1:8" x14ac:dyDescent="0.2">
      <c r="A101" s="326" t="s">
        <v>299</v>
      </c>
      <c r="B101" s="234">
        <f>SUMIF('TOT. GLASS'!$A$53:$A$65,OVERALL!$A101,'TOT. GLASS'!B$53:B$65)+SUMIF('TOT. PLASTIC'!$A$101:$A$121,OVERALL!$A101,'TOT. PLASTIC'!B$101:B$121)+SUMIF('TOT. METAL'!$A$48:$A$53,OVERALL!$A101,'TOT. METAL'!B$48:B$53)+SUMIF(TetraPak!$A$59:$A$61,OVERALL!$A101,TetraPak!B$59:B$61)</f>
        <v>2145</v>
      </c>
      <c r="C101" s="227">
        <f t="shared" si="7"/>
        <v>0.10699855339951114</v>
      </c>
      <c r="D101" s="324">
        <f>SUMIF('TOT. GLASS'!$A$53:$A$65,OVERALL!$A101,'TOT. GLASS'!D$53:D$65)+SUMIF('TOT. PLASTIC'!$A$101:$A$121,OVERALL!$A101,'TOT. PLASTIC'!D$101:D$121)+SUMIF('TOT. METAL'!$A$48:$A$53,OVERALL!$A101,'TOT. METAL'!D$48:D$53)+SUMIF(TetraPak!$A$59:$A$61,OVERALL!$A101,TetraPak!D$59:D$61)</f>
        <v>1109.3800000000006</v>
      </c>
      <c r="E101" s="210">
        <f t="shared" si="8"/>
        <v>0.518522534683305</v>
      </c>
      <c r="G101" s="76"/>
    </row>
    <row r="102" spans="1:8" x14ac:dyDescent="0.2">
      <c r="A102" s="238" t="s">
        <v>736</v>
      </c>
      <c r="B102" s="234">
        <f>SUMIF('TOT. GLASS'!$A$53:$A$65,OVERALL!$A102,'TOT. GLASS'!B$53:B$65)+SUMIF('TOT. PLASTIC'!$A$101:$A$121,OVERALL!$A102,'TOT. PLASTIC'!B$101:B$121)+SUMIF('TOT. METAL'!$A$48:$A$53,OVERALL!$A102,'TOT. METAL'!B$48:B$53)+SUMIF(TetraPak!$A$59:$A$61,OVERALL!$A102,TetraPak!B$59:B$61)</f>
        <v>1955</v>
      </c>
      <c r="C102" s="227">
        <f t="shared" si="7"/>
        <v>9.7520826058761903E-2</v>
      </c>
      <c r="D102" s="324">
        <f>SUMIF('TOT. GLASS'!$A$53:$A$65,OVERALL!$A102,'TOT. GLASS'!D$53:D$65)+SUMIF('TOT. PLASTIC'!$A$101:$A$121,OVERALL!$A102,'TOT. PLASTIC'!D$101:D$121)+SUMIF('TOT. METAL'!$A$48:$A$53,OVERALL!$A102,'TOT. METAL'!D$48:D$53)+SUMIF(TetraPak!$A$59:$A$61,OVERALL!$A102,TetraPak!D$59:D$61)</f>
        <v>82.11</v>
      </c>
      <c r="E102" s="210">
        <f t="shared" si="8"/>
        <v>3.8378089854554931E-2</v>
      </c>
      <c r="G102" s="76"/>
    </row>
    <row r="103" spans="1:8" x14ac:dyDescent="0.2">
      <c r="A103" s="326" t="s">
        <v>39</v>
      </c>
      <c r="B103" s="234">
        <f>SUMIF('TOT. GLASS'!$A$53:$A$65,OVERALL!$A103,'TOT. GLASS'!B$53:B$65)+SUMIF('TOT. PLASTIC'!$A$101:$A$121,OVERALL!$A103,'TOT. PLASTIC'!B$101:B$121)+SUMIF('TOT. METAL'!$A$48:$A$53,OVERALL!$A103,'TOT. METAL'!B$48:B$53)+SUMIF(TetraPak!$A$59:$A$61,OVERALL!$A103,TetraPak!B$59:B$61)</f>
        <v>1626</v>
      </c>
      <c r="C103" s="227">
        <f t="shared" si="7"/>
        <v>8.1109392926622434E-2</v>
      </c>
      <c r="D103" s="324">
        <f>SUMIF('TOT. GLASS'!$A$53:$A$65,OVERALL!$A103,'TOT. GLASS'!D$53:D$65)+SUMIF('TOT. PLASTIC'!$A$101:$A$121,OVERALL!$A103,'TOT. PLASTIC'!D$101:D$121)+SUMIF('TOT. METAL'!$A$48:$A$53,OVERALL!$A103,'TOT. METAL'!D$48:D$53)+SUMIF(TetraPak!$A$59:$A$61,OVERALL!$A103,TetraPak!D$59:D$61)</f>
        <v>74.103999999999999</v>
      </c>
      <c r="E103" s="210">
        <f t="shared" si="8"/>
        <v>3.4636097559151612E-2</v>
      </c>
      <c r="F103" s="81"/>
      <c r="G103" s="76"/>
      <c r="H103" s="81"/>
    </row>
    <row r="104" spans="1:8" x14ac:dyDescent="0.2">
      <c r="A104" s="326" t="s">
        <v>91</v>
      </c>
      <c r="B104" s="234">
        <f>SUMIF('TOT. GLASS'!$A$53:$A$65,OVERALL!$A104,'TOT. GLASS'!B$53:B$65)+SUMIF('TOT. PLASTIC'!$A$101:$A$121,OVERALL!$A104,'TOT. PLASTIC'!B$101:B$121)+SUMIF('TOT. METAL'!$A$48:$A$53,OVERALL!$A104,'TOT. METAL'!B$48:B$53)+SUMIF(TetraPak!$A$59:$A$61,OVERALL!$A104,TetraPak!B$59:B$61)</f>
        <v>663</v>
      </c>
      <c r="C104" s="227">
        <f t="shared" si="7"/>
        <v>3.3072280141667083E-2</v>
      </c>
      <c r="D104" s="324">
        <f>SUMIF('TOT. GLASS'!$A$53:$A$65,OVERALL!$A104,'TOT. GLASS'!D$53:D$65)+SUMIF('TOT. PLASTIC'!$A$101:$A$121,OVERALL!$A104,'TOT. PLASTIC'!D$101:D$121)+SUMIF('TOT. METAL'!$A$48:$A$53,OVERALL!$A104,'TOT. METAL'!D$48:D$53)+SUMIF(TetraPak!$A$59:$A$61,OVERALL!$A104,TetraPak!D$59:D$61)</f>
        <v>29.169999999999998</v>
      </c>
      <c r="E104" s="210">
        <f t="shared" si="8"/>
        <v>1.3634013896691843E-2</v>
      </c>
      <c r="G104" s="76"/>
    </row>
    <row r="105" spans="1:8" x14ac:dyDescent="0.2">
      <c r="A105" s="238" t="s">
        <v>292</v>
      </c>
      <c r="B105" s="234">
        <f>SUMIF('TOT. GLASS'!$A$53:$A$65,OVERALL!$A105,'TOT. GLASS'!B$53:B$65)+SUMIF('TOT. PLASTIC'!$A$101:$A$121,OVERALL!$A105,'TOT. PLASTIC'!B$101:B$121)+SUMIF('TOT. METAL'!$A$48:$A$53,OVERALL!$A105,'TOT. METAL'!B$48:B$53)+SUMIF(TetraPak!$A$59:$A$61,OVERALL!$A105,TetraPak!B$59:B$61)</f>
        <v>563</v>
      </c>
      <c r="C105" s="227">
        <f t="shared" si="7"/>
        <v>2.8084002593904325E-2</v>
      </c>
      <c r="D105" s="324">
        <f>SUMIF('TOT. GLASS'!$A$53:$A$65,OVERALL!$A105,'TOT. GLASS'!D$53:D$65)+SUMIF('TOT. PLASTIC'!$A$101:$A$121,OVERALL!$A105,'TOT. PLASTIC'!D$101:D$121)+SUMIF('TOT. METAL'!$A$48:$A$53,OVERALL!$A105,'TOT. METAL'!D$48:D$53)+SUMIF(TetraPak!$A$59:$A$61,OVERALL!$A105,TetraPak!D$59:D$61)</f>
        <v>2.8149999999999999</v>
      </c>
      <c r="E105" s="210">
        <f t="shared" si="8"/>
        <v>1.3157267438871287E-3</v>
      </c>
      <c r="F105" s="81"/>
      <c r="G105" s="83"/>
      <c r="H105" s="81"/>
    </row>
    <row r="106" spans="1:8" x14ac:dyDescent="0.2">
      <c r="A106" s="236" t="s">
        <v>562</v>
      </c>
      <c r="B106" s="234">
        <f>SUMIF('TOT. GLASS'!$A$53:$A$65,OVERALL!$A106,'TOT. GLASS'!B$53:B$65)+SUMIF('TOT. PLASTIC'!$A$101:$A$121,OVERALL!$A106,'TOT. PLASTIC'!B$101:B$121)+SUMIF('TOT. METAL'!$A$48:$A$53,OVERALL!$A106,'TOT. METAL'!B$48:B$53)+SUMIF(TetraPak!$A$59:$A$61,OVERALL!$A106,TetraPak!B$59:B$61)</f>
        <v>522</v>
      </c>
      <c r="C106" s="227">
        <f t="shared" ref="C106:C122" si="9">B106/$B$1</f>
        <v>2.6038808799321595E-2</v>
      </c>
      <c r="D106" s="324">
        <f>SUMIF('TOT. GLASS'!$A$53:$A$65,OVERALL!$A106,'TOT. GLASS'!D$53:D$65)+SUMIF('TOT. PLASTIC'!$A$101:$A$121,OVERALL!$A106,'TOT. PLASTIC'!D$101:D$121)+SUMIF('TOT. METAL'!$A$48:$A$53,OVERALL!$A106,'TOT. METAL'!D$48:D$53)+SUMIF(TetraPak!$A$59:$A$61,OVERALL!$A106,TetraPak!D$59:D$61)</f>
        <v>1.7729999999999999</v>
      </c>
      <c r="E106" s="210">
        <f t="shared" ref="E106:E122" si="10">D106/$D$1</f>
        <v>8.2869751932926426E-4</v>
      </c>
      <c r="F106" s="81"/>
      <c r="H106" s="81"/>
    </row>
    <row r="107" spans="1:8" x14ac:dyDescent="0.2">
      <c r="A107" s="326" t="s">
        <v>34</v>
      </c>
      <c r="B107" s="234">
        <f>SUMIF('TOT. GLASS'!$A$53:$A$65,OVERALL!$A107,'TOT. GLASS'!B$53:B$65)+SUMIF('TOT. PLASTIC'!$A$101:$A$121,OVERALL!$A107,'TOT. PLASTIC'!B$101:B$121)+SUMIF('TOT. METAL'!$A$48:$A$53,OVERALL!$A107,'TOT. METAL'!B$48:B$53)+SUMIF(TetraPak!$A$59:$A$61,OVERALL!$A107,TetraPak!B$59:B$61)</f>
        <v>515</v>
      </c>
      <c r="C107" s="227">
        <f t="shared" ref="C107:C115" si="11">B107/$B$1</f>
        <v>2.5689629370978202E-2</v>
      </c>
      <c r="D107" s="324">
        <f>SUMIF('TOT. GLASS'!$A$53:$A$65,OVERALL!$A107,'TOT. GLASS'!D$53:D$65)+SUMIF('TOT. PLASTIC'!$A$101:$A$121,OVERALL!$A107,'TOT. PLASTIC'!D$101:D$121)+SUMIF('TOT. METAL'!$A$48:$A$53,OVERALL!$A107,'TOT. METAL'!D$48:D$53)+SUMIF(TetraPak!$A$59:$A$61,OVERALL!$A107,TetraPak!D$59:D$61)</f>
        <v>20.6</v>
      </c>
      <c r="E107" s="210">
        <f t="shared" ref="E107:E115" si="12">D107/$D$1</f>
        <v>9.6284088540230378E-3</v>
      </c>
      <c r="F107" s="81"/>
      <c r="G107" s="76"/>
      <c r="H107" s="81"/>
    </row>
    <row r="108" spans="1:8" x14ac:dyDescent="0.2">
      <c r="A108" s="237" t="s">
        <v>105</v>
      </c>
      <c r="B108" s="234">
        <f>SUMIF('TOT. GLASS'!$A$53:$A$65,OVERALL!$A108,'TOT. GLASS'!B$53:B$65)+SUMIF('TOT. PLASTIC'!$A$101:$A$121,OVERALL!$A108,'TOT. PLASTIC'!B$101:B$121)+SUMIF('TOT. METAL'!$A$48:$A$53,OVERALL!$A108,'TOT. METAL'!B$48:B$53)+SUMIF(TetraPak!$A$59:$A$61,OVERALL!$A108,TetraPak!B$59:B$61)</f>
        <v>490</v>
      </c>
      <c r="C108" s="227">
        <f t="shared" si="11"/>
        <v>2.444255998403751E-2</v>
      </c>
      <c r="D108" s="324">
        <f>SUMIF('TOT. GLASS'!$A$53:$A$65,OVERALL!$A108,'TOT. GLASS'!D$53:D$65)+SUMIF('TOT. PLASTIC'!$A$101:$A$121,OVERALL!$A108,'TOT. PLASTIC'!D$101:D$121)+SUMIF('TOT. METAL'!$A$48:$A$53,OVERALL!$A108,'TOT. METAL'!D$48:D$53)+SUMIF(TetraPak!$A$59:$A$61,OVERALL!$A108,TetraPak!D$59:D$61)</f>
        <v>22.4085</v>
      </c>
      <c r="E108" s="210">
        <f t="shared" si="12"/>
        <v>1.0473699019678409E-2</v>
      </c>
      <c r="F108" s="81"/>
      <c r="G108" s="76"/>
      <c r="H108" s="81"/>
    </row>
    <row r="109" spans="1:8" x14ac:dyDescent="0.2">
      <c r="A109" s="328" t="s">
        <v>293</v>
      </c>
      <c r="B109" s="234">
        <f>SUMIF('TOT. GLASS'!$A$53:$A$65,OVERALL!$A109,'TOT. GLASS'!B$53:B$65)+SUMIF('TOT. PLASTIC'!$A$101:$A$121,OVERALL!$A109,'TOT. PLASTIC'!B$101:B$121)+SUMIF('TOT. METAL'!$A$48:$A$53,OVERALL!$A109,'TOT. METAL'!B$48:B$53)+SUMIF(TetraPak!$A$59:$A$61,OVERALL!$A109,TetraPak!B$59:B$61)</f>
        <v>488</v>
      </c>
      <c r="C109" s="227">
        <f t="shared" si="11"/>
        <v>2.4342794433082255E-2</v>
      </c>
      <c r="D109" s="324">
        <f>SUMIF('TOT. GLASS'!$A$53:$A$65,OVERALL!$A109,'TOT. GLASS'!D$53:D$65)+SUMIF('TOT. PLASTIC'!$A$101:$A$121,OVERALL!$A109,'TOT. PLASTIC'!D$101:D$121)+SUMIF('TOT. METAL'!$A$48:$A$53,OVERALL!$A109,'TOT. METAL'!D$48:D$53)+SUMIF(TetraPak!$A$59:$A$61,OVERALL!$A109,TetraPak!D$59:D$61)</f>
        <v>4.4744999999999999</v>
      </c>
      <c r="E109" s="210">
        <f t="shared" si="12"/>
        <v>2.0913745348216544E-3</v>
      </c>
      <c r="F109" s="81"/>
      <c r="G109" s="76"/>
      <c r="H109" s="81"/>
    </row>
    <row r="110" spans="1:8" x14ac:dyDescent="0.2">
      <c r="A110" s="236" t="s">
        <v>385</v>
      </c>
      <c r="B110" s="234">
        <f>SUMIF('TOT. GLASS'!$A$53:$A$65,OVERALL!$A110,'TOT. GLASS'!B$53:B$65)+SUMIF('TOT. PLASTIC'!$A$101:$A$121,OVERALL!$A110,'TOT. PLASTIC'!B$101:B$121)+SUMIF('TOT. METAL'!$A$48:$A$53,OVERALL!$A110,'TOT. METAL'!B$48:B$53)+SUMIF(TetraPak!$A$59:$A$61,OVERALL!$A110,TetraPak!B$59:B$61)</f>
        <v>350</v>
      </c>
      <c r="C110" s="227">
        <f t="shared" si="11"/>
        <v>1.745897141716965E-2</v>
      </c>
      <c r="D110" s="324">
        <f>SUMIF('TOT. GLASS'!$A$53:$A$65,OVERALL!$A110,'TOT. GLASS'!D$53:D$65)+SUMIF('TOT. PLASTIC'!$A$101:$A$121,OVERALL!$A110,'TOT. PLASTIC'!D$101:D$121)+SUMIF('TOT. METAL'!$A$48:$A$53,OVERALL!$A110,'TOT. METAL'!D$48:D$53)+SUMIF(TetraPak!$A$59:$A$61,OVERALL!$A110,TetraPak!D$59:D$61)</f>
        <v>16.452999999999999</v>
      </c>
      <c r="E110" s="210">
        <f t="shared" si="12"/>
        <v>7.6901073240408261E-3</v>
      </c>
      <c r="F110" s="81"/>
      <c r="H110" s="81"/>
    </row>
    <row r="111" spans="1:8" x14ac:dyDescent="0.2">
      <c r="A111" s="236" t="s">
        <v>93</v>
      </c>
      <c r="B111" s="234">
        <f>SUMIF('TOT. GLASS'!$A$53:$A$65,OVERALL!$A111,'TOT. GLASS'!B$53:B$65)+SUMIF('TOT. PLASTIC'!$A$101:$A$121,OVERALL!$A111,'TOT. PLASTIC'!B$101:B$121)+SUMIF('TOT. METAL'!$A$48:$A$53,OVERALL!$A111,'TOT. METAL'!B$48:B$53)+SUMIF(TetraPak!$A$59:$A$61,OVERALL!$A111,TetraPak!B$59:B$61)</f>
        <v>260</v>
      </c>
      <c r="C111" s="227">
        <f t="shared" si="11"/>
        <v>1.296952162418317E-2</v>
      </c>
      <c r="D111" s="324">
        <f>SUMIF('TOT. GLASS'!$A$53:$A$65,OVERALL!$A111,'TOT. GLASS'!D$53:D$65)+SUMIF('TOT. PLASTIC'!$A$101:$A$121,OVERALL!$A111,'TOT. PLASTIC'!D$101:D$121)+SUMIF('TOT. METAL'!$A$48:$A$53,OVERALL!$A111,'TOT. METAL'!D$48:D$53)+SUMIF(TetraPak!$A$59:$A$61,OVERALL!$A111,TetraPak!D$59:D$61)</f>
        <v>17.77</v>
      </c>
      <c r="E111" s="210">
        <f t="shared" si="12"/>
        <v>8.3056711328150182E-3</v>
      </c>
      <c r="G111" s="83"/>
    </row>
    <row r="112" spans="1:8" x14ac:dyDescent="0.2">
      <c r="A112" s="236" t="s">
        <v>68</v>
      </c>
      <c r="B112" s="234">
        <f>SUMIF('TOT. GLASS'!$A$53:$A$65,OVERALL!$A112,'TOT. GLASS'!B$53:B$65)+SUMIF('TOT. PLASTIC'!$A$101:$A$121,OVERALL!$A112,'TOT. PLASTIC'!B$101:B$121)+SUMIF('TOT. METAL'!$A$48:$A$53,OVERALL!$A112,'TOT. METAL'!B$48:B$53)+SUMIF(TetraPak!$A$59:$A$61,OVERALL!$A112,TetraPak!B$59:B$61)</f>
        <v>245</v>
      </c>
      <c r="C112" s="227">
        <f t="shared" si="11"/>
        <v>1.2221279992018755E-2</v>
      </c>
      <c r="D112" s="324">
        <f>SUMIF('TOT. GLASS'!$A$53:$A$65,OVERALL!$A112,'TOT. GLASS'!D$53:D$65)+SUMIF('TOT. PLASTIC'!$A$101:$A$121,OVERALL!$A112,'TOT. PLASTIC'!D$101:D$121)+SUMIF('TOT. METAL'!$A$48:$A$53,OVERALL!$A112,'TOT. METAL'!D$48:D$53)+SUMIF(TetraPak!$A$59:$A$61,OVERALL!$A112,TetraPak!D$59:D$61)</f>
        <v>11.025</v>
      </c>
      <c r="E112" s="210">
        <f t="shared" si="12"/>
        <v>5.1530683308545627E-3</v>
      </c>
      <c r="F112" s="81"/>
      <c r="G112" s="76"/>
      <c r="H112" s="81"/>
    </row>
    <row r="113" spans="1:8" x14ac:dyDescent="0.2">
      <c r="A113" s="326" t="s">
        <v>656</v>
      </c>
      <c r="B113" s="234">
        <f>SUMIF('TOT. GLASS'!$A$53:$A$65,OVERALL!$A113,'TOT. GLASS'!B$53:B$65)+SUMIF('TOT. PLASTIC'!$A$101:$A$121,OVERALL!$A113,'TOT. PLASTIC'!B$101:B$121)+SUMIF('TOT. METAL'!$A$48:$A$53,OVERALL!$A113,'TOT. METAL'!B$48:B$53)+SUMIF(TetraPak!$A$59:$A$61,OVERALL!$A113,TetraPak!B$59:B$61)</f>
        <v>239</v>
      </c>
      <c r="C113" s="227">
        <f t="shared" si="11"/>
        <v>1.1921983339152991E-2</v>
      </c>
      <c r="D113" s="324">
        <f>SUMIF('TOT. GLASS'!$A$53:$A$65,OVERALL!$A113,'TOT. GLASS'!D$53:D$65)+SUMIF('TOT. PLASTIC'!$A$101:$A$121,OVERALL!$A113,'TOT. PLASTIC'!D$101:D$121)+SUMIF('TOT. METAL'!$A$48:$A$53,OVERALL!$A113,'TOT. METAL'!D$48:D$53)+SUMIF(TetraPak!$A$59:$A$61,OVERALL!$A113,TetraPak!D$59:D$61)</f>
        <v>11.5525</v>
      </c>
      <c r="E113" s="210">
        <f t="shared" si="12"/>
        <v>5.3996210333058809E-3</v>
      </c>
      <c r="F113" s="81"/>
      <c r="H113" s="81"/>
    </row>
    <row r="114" spans="1:8" x14ac:dyDescent="0.2">
      <c r="A114" s="237" t="s">
        <v>127</v>
      </c>
      <c r="B114" s="234">
        <f>SUMIF('TOT. GLASS'!$A$53:$A$65,OVERALL!$A114,'TOT. GLASS'!B$53:B$65)+SUMIF('TOT. PLASTIC'!$A$101:$A$121,OVERALL!$A114,'TOT. PLASTIC'!B$101:B$121)+SUMIF('TOT. METAL'!$A$48:$A$53,OVERALL!$A114,'TOT. METAL'!B$48:B$53)+SUMIF(TetraPak!$A$59:$A$61,OVERALL!$A114,TetraPak!B$59:B$61)</f>
        <v>153</v>
      </c>
      <c r="C114" s="227">
        <f t="shared" si="11"/>
        <v>7.6320646480770192E-3</v>
      </c>
      <c r="D114" s="324">
        <f>SUMIF('TOT. GLASS'!$A$53:$A$65,OVERALL!$A114,'TOT. GLASS'!D$53:D$65)+SUMIF('TOT. PLASTIC'!$A$101:$A$121,OVERALL!$A114,'TOT. PLASTIC'!D$101:D$121)+SUMIF('TOT. METAL'!$A$48:$A$53,OVERALL!$A114,'TOT. METAL'!D$48:D$53)+SUMIF(TetraPak!$A$59:$A$61,OVERALL!$A114,TetraPak!D$59:D$61)</f>
        <v>7.3594999999999997</v>
      </c>
      <c r="E114" s="210">
        <f t="shared" si="12"/>
        <v>3.4398191728729388E-3</v>
      </c>
      <c r="F114" s="81"/>
      <c r="H114" s="81"/>
    </row>
    <row r="115" spans="1:8" x14ac:dyDescent="0.2">
      <c r="A115" s="326" t="s">
        <v>363</v>
      </c>
      <c r="B115" s="234">
        <f>SUMIF('TOT. GLASS'!$A$53:$A$65,OVERALL!$A115,'TOT. GLASS'!B$53:B$65)+SUMIF('TOT. PLASTIC'!$A$101:$A$121,OVERALL!$A115,'TOT. PLASTIC'!B$101:B$121)+SUMIF('TOT. METAL'!$A$48:$A$53,OVERALL!$A115,'TOT. METAL'!B$48:B$53)+SUMIF(TetraPak!$A$59:$A$61,OVERALL!$A115,TetraPak!B$59:B$61)</f>
        <v>138</v>
      </c>
      <c r="C115" s="227">
        <f t="shared" si="11"/>
        <v>6.8838230159126053E-3</v>
      </c>
      <c r="D115" s="324">
        <f>SUMIF('TOT. GLASS'!$A$53:$A$65,OVERALL!$A115,'TOT. GLASS'!D$53:D$65)+SUMIF('TOT. PLASTIC'!$A$101:$A$121,OVERALL!$A115,'TOT. PLASTIC'!D$101:D$121)+SUMIF('TOT. METAL'!$A$48:$A$53,OVERALL!$A115,'TOT. METAL'!D$48:D$53)+SUMIF(TetraPak!$A$59:$A$61,OVERALL!$A115,TetraPak!D$59:D$61)</f>
        <v>67.62</v>
      </c>
      <c r="E115" s="210">
        <f t="shared" si="12"/>
        <v>3.1605485762574652E-2</v>
      </c>
      <c r="G115" s="76"/>
    </row>
    <row r="116" spans="1:8" x14ac:dyDescent="0.2">
      <c r="A116" s="237" t="s">
        <v>641</v>
      </c>
      <c r="B116" s="234">
        <f>SUMIF('TOT. GLASS'!$A$53:$A$65,OVERALL!$A116,'TOT. GLASS'!B$53:B$65)+SUMIF('TOT. PLASTIC'!$A$101:$A$121,OVERALL!$A116,'TOT. PLASTIC'!B$101:B$121)+SUMIF('TOT. METAL'!$A$48:$A$53,OVERALL!$A116,'TOT. METAL'!B$48:B$53)+SUMIF(TetraPak!$A$59:$A$61,OVERALL!$A116,TetraPak!B$59:B$61)</f>
        <v>125</v>
      </c>
      <c r="C116" s="227">
        <f t="shared" si="9"/>
        <v>6.2353469347034467E-3</v>
      </c>
      <c r="D116" s="324">
        <f>SUMIF('TOT. GLASS'!$A$53:$A$65,OVERALL!$A116,'TOT. GLASS'!D$53:D$65)+SUMIF('TOT. PLASTIC'!$A$101:$A$121,OVERALL!$A116,'TOT. PLASTIC'!D$101:D$121)+SUMIF('TOT. METAL'!$A$48:$A$53,OVERALL!$A116,'TOT. METAL'!D$48:D$53)+SUMIF(TetraPak!$A$59:$A$61,OVERALL!$A116,TetraPak!D$59:D$61)</f>
        <v>12.708499999999997</v>
      </c>
      <c r="E116" s="210">
        <f t="shared" si="10"/>
        <v>5.9399336855025121E-3</v>
      </c>
      <c r="F116" s="81"/>
      <c r="H116" s="81"/>
    </row>
    <row r="117" spans="1:8" x14ac:dyDescent="0.2">
      <c r="A117" s="237" t="s">
        <v>230</v>
      </c>
      <c r="B117" s="234">
        <f>SUMIF('TOT. GLASS'!$A$53:$A$65,OVERALL!$A117,'TOT. GLASS'!B$53:B$65)+SUMIF('TOT. PLASTIC'!$A$101:$A$121,OVERALL!$A117,'TOT. PLASTIC'!B$101:B$121)+SUMIF('TOT. METAL'!$A$48:$A$53,OVERALL!$A117,'TOT. METAL'!B$48:B$53)+SUMIF(TetraPak!$A$59:$A$61,OVERALL!$A117,TetraPak!B$59:B$61)</f>
        <v>113</v>
      </c>
      <c r="C117" s="227">
        <f>B117/$B$1</f>
        <v>5.6367536289719158E-3</v>
      </c>
      <c r="D117" s="324">
        <f>SUMIF('TOT. GLASS'!$A$53:$A$65,OVERALL!$A117,'TOT. GLASS'!D$53:D$65)+SUMIF('TOT. PLASTIC'!$A$101:$A$121,OVERALL!$A117,'TOT. PLASTIC'!D$101:D$121)+SUMIF('TOT. METAL'!$A$48:$A$53,OVERALL!$A117,'TOT. METAL'!D$48:D$53)+SUMIF(TetraPak!$A$59:$A$61,OVERALL!$A117,TetraPak!D$59:D$61)</f>
        <v>5.2730000000000006</v>
      </c>
      <c r="E117" s="210">
        <f>D117/$D$1</f>
        <v>2.4645922275370624E-3</v>
      </c>
      <c r="F117" s="81"/>
      <c r="G117" s="76"/>
      <c r="H117" s="81"/>
    </row>
    <row r="118" spans="1:8" x14ac:dyDescent="0.2">
      <c r="A118" s="329" t="s">
        <v>688</v>
      </c>
      <c r="B118" s="234">
        <f>SUMIF('TOT. GLASS'!$A$53:$A$65,OVERALL!$A118,'TOT. GLASS'!B$53:B$65)+SUMIF('TOT. PLASTIC'!$A$101:$A$121,OVERALL!$A118,'TOT. PLASTIC'!B$101:B$121)+SUMIF('TOT. METAL'!$A$48:$A$53,OVERALL!$A118,'TOT. METAL'!B$48:B$53)+SUMIF(TetraPak!$A$59:$A$61,OVERALL!$A118,TetraPak!B$59:B$61)</f>
        <v>110</v>
      </c>
      <c r="C118" s="227">
        <f>B118/$B$1</f>
        <v>5.4871053025390337E-3</v>
      </c>
      <c r="D118" s="324">
        <f>SUMIF('TOT. GLASS'!$A$53:$A$65,OVERALL!$A118,'TOT. GLASS'!D$53:D$65)+SUMIF('TOT. PLASTIC'!$A$101:$A$121,OVERALL!$A118,'TOT. PLASTIC'!D$101:D$121)+SUMIF('TOT. METAL'!$A$48:$A$53,OVERALL!$A118,'TOT. METAL'!D$48:D$53)+SUMIF(TetraPak!$A$59:$A$61,OVERALL!$A118,TetraPak!D$59:D$61)</f>
        <v>8.8000000000000007</v>
      </c>
      <c r="E118" s="210">
        <f>D118/$D$1</f>
        <v>4.1131066949224625E-3</v>
      </c>
      <c r="F118" s="81"/>
      <c r="G118" s="76"/>
      <c r="H118" s="81"/>
    </row>
    <row r="119" spans="1:8" x14ac:dyDescent="0.2">
      <c r="A119" s="238" t="s">
        <v>291</v>
      </c>
      <c r="B119" s="234">
        <f>SUMIF('TOT. GLASS'!$A$53:$A$65,OVERALL!$A119,'TOT. GLASS'!B$53:B$65)+SUMIF('TOT. PLASTIC'!$A$101:$A$121,OVERALL!$A119,'TOT. PLASTIC'!B$101:B$121)+SUMIF('TOT. METAL'!$A$48:$A$53,OVERALL!$A119,'TOT. METAL'!B$48:B$53)+SUMIF(TetraPak!$A$59:$A$61,OVERALL!$A119,TetraPak!B$59:B$61)</f>
        <v>62</v>
      </c>
      <c r="C119" s="227">
        <f>B119/$B$1</f>
        <v>3.0927320796129095E-3</v>
      </c>
      <c r="D119" s="324">
        <f>SUMIF('TOT. GLASS'!$A$53:$A$65,OVERALL!$A119,'TOT. GLASS'!D$53:D$65)+SUMIF('TOT. PLASTIC'!$A$101:$A$121,OVERALL!$A119,'TOT. PLASTIC'!D$101:D$121)+SUMIF('TOT. METAL'!$A$48:$A$53,OVERALL!$A119,'TOT. METAL'!D$48:D$53)+SUMIF(TetraPak!$A$59:$A$61,OVERALL!$A119,TetraPak!D$59:D$61)</f>
        <v>3.46</v>
      </c>
      <c r="E119" s="210">
        <f>D119/$D$1</f>
        <v>1.6171987686854226E-3</v>
      </c>
      <c r="F119" s="81"/>
      <c r="G119" s="83"/>
      <c r="H119" s="81"/>
    </row>
    <row r="120" spans="1:8" x14ac:dyDescent="0.2">
      <c r="A120" s="237" t="s">
        <v>238</v>
      </c>
      <c r="B120" s="234">
        <f>SUMIF('TOT. GLASS'!$A$53:$A$65,OVERALL!$A120,'TOT. GLASS'!B$53:B$65)+SUMIF('TOT. PLASTIC'!$A$101:$A$121,OVERALL!$A120,'TOT. PLASTIC'!B$101:B$121)+SUMIF('TOT. METAL'!$A$48:$A$53,OVERALL!$A120,'TOT. METAL'!B$48:B$53)+SUMIF(TetraPak!$A$59:$A$61,OVERALL!$A120,TetraPak!B$59:B$61)</f>
        <v>52</v>
      </c>
      <c r="C120" s="227">
        <f t="shared" si="9"/>
        <v>2.5939043248366339E-3</v>
      </c>
      <c r="D120" s="324">
        <f>SUMIF('TOT. GLASS'!$A$53:$A$65,OVERALL!$A120,'TOT. GLASS'!D$53:D$65)+SUMIF('TOT. PLASTIC'!$A$101:$A$121,OVERALL!$A120,'TOT. PLASTIC'!D$101:D$121)+SUMIF('TOT. METAL'!$A$48:$A$53,OVERALL!$A120,'TOT. METAL'!D$48:D$53)+SUMIF(TetraPak!$A$59:$A$61,OVERALL!$A120,TetraPak!D$59:D$61)</f>
        <v>2.84</v>
      </c>
      <c r="E120" s="210">
        <f t="shared" si="10"/>
        <v>1.3274117060886128E-3</v>
      </c>
      <c r="F120" s="81"/>
      <c r="G120" s="83"/>
      <c r="H120" s="81"/>
    </row>
    <row r="121" spans="1:8" x14ac:dyDescent="0.2">
      <c r="A121" s="326" t="s">
        <v>615</v>
      </c>
      <c r="B121" s="234">
        <f>SUMIF('TOT. GLASS'!$A$53:$A$65,OVERALL!$A121,'TOT. GLASS'!B$53:B$65)+SUMIF('TOT. PLASTIC'!$A$101:$A$121,OVERALL!$A121,'TOT. PLASTIC'!B$101:B$121)+SUMIF('TOT. METAL'!$A$48:$A$53,OVERALL!$A121,'TOT. METAL'!B$48:B$53)+SUMIF(TetraPak!$A$59:$A$61,OVERALL!$A121,TetraPak!B$59:B$61)</f>
        <v>60</v>
      </c>
      <c r="C121" s="227">
        <f t="shared" si="9"/>
        <v>2.9929665286576547E-3</v>
      </c>
      <c r="D121" s="324">
        <f>SUMIF('TOT. GLASS'!$A$53:$A$65,OVERALL!$A121,'TOT. GLASS'!D$53:D$65)+SUMIF('TOT. PLASTIC'!$A$101:$A$121,OVERALL!$A121,'TOT. PLASTIC'!D$101:D$121)+SUMIF('TOT. METAL'!$A$48:$A$53,OVERALL!$A121,'TOT. METAL'!D$48:D$53)+SUMIF(TetraPak!$A$59:$A$61,OVERALL!$A121,TetraPak!D$59:D$61)</f>
        <v>30</v>
      </c>
      <c r="E121" s="210">
        <f t="shared" si="10"/>
        <v>1.4021954641781123E-2</v>
      </c>
      <c r="F121" s="81"/>
      <c r="G121" s="76"/>
      <c r="H121" s="81"/>
    </row>
    <row r="122" spans="1:8" x14ac:dyDescent="0.2">
      <c r="A122" s="237" t="s">
        <v>687</v>
      </c>
      <c r="B122" s="234">
        <f>SUMIF('TOT. GLASS'!$A$53:$A$65,OVERALL!$A122,'TOT. GLASS'!B$53:B$65)+SUMIF('TOT. PLASTIC'!$A$101:$A$121,OVERALL!$A122,'TOT. PLASTIC'!B$101:B$121)+SUMIF('TOT. METAL'!$A$48:$A$53,OVERALL!$A122,'TOT. METAL'!B$48:B$53)+SUMIF(TetraPak!$A$59:$A$61,OVERALL!$A122,TetraPak!B$59:B$61)</f>
        <v>26</v>
      </c>
      <c r="C122" s="227">
        <f t="shared" si="9"/>
        <v>1.2969521624183169E-3</v>
      </c>
      <c r="D122" s="324">
        <f>SUMIF('TOT. GLASS'!$A$53:$A$65,OVERALL!$A122,'TOT. GLASS'!D$53:D$65)+SUMIF('TOT. PLASTIC'!$A$101:$A$121,OVERALL!$A122,'TOT. PLASTIC'!D$101:D$121)+SUMIF('TOT. METAL'!$A$48:$A$53,OVERALL!$A122,'TOT. METAL'!D$48:D$53)+SUMIF(TetraPak!$A$59:$A$61,OVERALL!$A122,TetraPak!D$59:D$61)</f>
        <v>1.04</v>
      </c>
      <c r="E122" s="210">
        <f t="shared" si="10"/>
        <v>4.8609442758174558E-4</v>
      </c>
      <c r="F122" s="81"/>
      <c r="G122" s="76"/>
      <c r="H122" s="81"/>
    </row>
    <row r="123" spans="1:8" ht="17" thickBot="1" x14ac:dyDescent="0.25">
      <c r="A123" s="327" t="s">
        <v>193</v>
      </c>
      <c r="B123" s="241">
        <f>SUMIF('TOT. GLASS'!$A$53:$A$65,OVERALL!$A123,'TOT. GLASS'!B$53:B$65)+SUMIF('TOT. PLASTIC'!$A$101:$A$121,OVERALL!$A123,'TOT. PLASTIC'!B$101:B$121)+SUMIF('TOT. METAL'!$A$48:$A$53,OVERALL!$A123,'TOT. METAL'!B$48:B$53)+SUMIF(TetraPak!$A$59:$A$61,OVERALL!$A123,TetraPak!B$59:B$61)</f>
        <v>9</v>
      </c>
      <c r="C123" s="229">
        <f>B123/$B$1</f>
        <v>4.489449792986482E-4</v>
      </c>
      <c r="D123" s="325">
        <f>SUMIF('TOT. GLASS'!$A$53:$A$65,OVERALL!$A123,'TOT. GLASS'!D$53:D$65)+SUMIF('TOT. PLASTIC'!$A$101:$A$121,OVERALL!$A123,'TOT. PLASTIC'!D$101:D$121)+SUMIF('TOT. METAL'!$A$48:$A$53,OVERALL!$A123,'TOT. METAL'!D$48:D$53)+SUMIF(TetraPak!$A$59:$A$61,OVERALL!$A123,TetraPak!D$59:D$61)</f>
        <v>0.495</v>
      </c>
      <c r="E123" s="212">
        <f>D123/$D$1</f>
        <v>2.3136225158938852E-4</v>
      </c>
      <c r="G123" s="313"/>
    </row>
    <row r="124" spans="1:8" x14ac:dyDescent="0.2">
      <c r="A124" s="314"/>
      <c r="B124" s="226">
        <f>SUM(B98:B123)-$B$1</f>
        <v>0</v>
      </c>
      <c r="C124" s="78"/>
      <c r="D124" s="226">
        <f>SUM(D98:D123)-D$1</f>
        <v>0</v>
      </c>
      <c r="G124" s="83"/>
    </row>
    <row r="125" spans="1:8" x14ac:dyDescent="0.2">
      <c r="B125" s="77"/>
      <c r="C125" s="78"/>
      <c r="D125" s="226"/>
      <c r="G125" s="83"/>
    </row>
    <row r="126" spans="1:8" ht="17" thickBot="1" x14ac:dyDescent="0.25">
      <c r="G126" s="76"/>
    </row>
    <row r="127" spans="1:8" x14ac:dyDescent="0.2">
      <c r="A127" s="413" t="s">
        <v>128</v>
      </c>
      <c r="B127" s="414"/>
      <c r="C127" s="414"/>
      <c r="D127" s="414"/>
      <c r="E127" s="415"/>
      <c r="G127" s="76"/>
    </row>
    <row r="128" spans="1:8" x14ac:dyDescent="0.2">
      <c r="A128" s="213" t="s">
        <v>618</v>
      </c>
      <c r="B128" s="208" t="s">
        <v>614</v>
      </c>
      <c r="C128" s="323"/>
      <c r="D128" s="214" t="s">
        <v>617</v>
      </c>
      <c r="E128" s="215"/>
      <c r="G128" s="83"/>
    </row>
    <row r="129" spans="1:7" x14ac:dyDescent="0.2">
      <c r="A129" s="79" t="s">
        <v>6</v>
      </c>
      <c r="B129" s="234">
        <f>'TOT. GLASS'!B75+'TOT. PLASTIC'!B127+'TOT. METAL'!B70+TetraPak!B78</f>
        <v>11626</v>
      </c>
      <c r="C129" s="75">
        <f>B129/B$1</f>
        <v>0.57993714770289817</v>
      </c>
      <c r="D129" s="222">
        <f>'TOT. GLASS'!D75+'TOT. PLASTIC'!D127+'TOT. METAL'!D70+TetraPak!D78</f>
        <v>1590.4145000000008</v>
      </c>
      <c r="E129" s="210">
        <f>D129/D$1</f>
        <v>0.74335733268770043</v>
      </c>
      <c r="G129" s="83"/>
    </row>
    <row r="130" spans="1:7" x14ac:dyDescent="0.2">
      <c r="A130" s="308" t="s">
        <v>7</v>
      </c>
      <c r="B130" s="234">
        <f>'TOT. GLASS'!B76+'TOT. PLASTIC'!B128+'TOT. METAL'!B71+TetraPak!B79</f>
        <v>4958</v>
      </c>
      <c r="C130" s="75">
        <f>B130/B$1</f>
        <v>0.24731880081807753</v>
      </c>
      <c r="D130" s="309">
        <f>'TOT. GLASS'!D76+'TOT. PLASTIC'!D128+'TOT. METAL'!D71+TetraPak!D79</f>
        <v>443.69749999999999</v>
      </c>
      <c r="E130" s="210">
        <f>D130/D$1</f>
        <v>0.20738354065572265</v>
      </c>
      <c r="G130" s="76"/>
    </row>
    <row r="131" spans="1:7" ht="17" thickBot="1" x14ac:dyDescent="0.25">
      <c r="A131" s="84" t="s">
        <v>684</v>
      </c>
      <c r="B131" s="241">
        <f>'TOT. PLASTIC'!B129</f>
        <v>3463</v>
      </c>
      <c r="C131" s="85">
        <f>B131/B$1</f>
        <v>0.1727440514790243</v>
      </c>
      <c r="D131" s="223">
        <f>'TOT. PLASTIC'!D129</f>
        <v>105.38999999999999</v>
      </c>
      <c r="E131" s="212">
        <f>D131/D$1</f>
        <v>4.9259126656577078E-2</v>
      </c>
      <c r="G131" s="83"/>
    </row>
    <row r="132" spans="1:7" x14ac:dyDescent="0.2">
      <c r="A132" s="76"/>
      <c r="B132" s="262">
        <f>SUM(B129:B131)-$B$1</f>
        <v>0</v>
      </c>
      <c r="C132" s="82"/>
      <c r="D132" s="226">
        <f>SUM(D129:D131)-D1</f>
        <v>0</v>
      </c>
      <c r="E132" s="81"/>
      <c r="G132" s="76"/>
    </row>
    <row r="133" spans="1:7" x14ac:dyDescent="0.2">
      <c r="A133" s="82"/>
      <c r="B133" s="82"/>
      <c r="C133" s="80"/>
      <c r="D133" s="80"/>
      <c r="E133" s="81"/>
      <c r="G133" s="83"/>
    </row>
    <row r="134" spans="1:7" x14ac:dyDescent="0.2">
      <c r="A134" s="82"/>
      <c r="B134" s="82"/>
      <c r="C134" s="80"/>
      <c r="D134" s="80"/>
      <c r="E134" s="81"/>
      <c r="G134" s="83"/>
    </row>
    <row r="135" spans="1:7" x14ac:dyDescent="0.2">
      <c r="A135" s="82"/>
      <c r="B135" s="82"/>
      <c r="C135" s="80" t="s">
        <v>129</v>
      </c>
      <c r="D135" s="80"/>
      <c r="E135" s="81"/>
      <c r="G135" s="83"/>
    </row>
    <row r="136" spans="1:7" x14ac:dyDescent="0.2">
      <c r="A136" s="82"/>
      <c r="B136" s="82"/>
      <c r="C136" s="80"/>
      <c r="D136" s="80"/>
      <c r="E136" s="81"/>
      <c r="G136" s="83"/>
    </row>
    <row r="137" spans="1:7" x14ac:dyDescent="0.2">
      <c r="A137" s="82"/>
      <c r="B137" s="82"/>
      <c r="C137" s="80"/>
      <c r="D137" s="80"/>
      <c r="E137" s="81"/>
      <c r="G137" s="83"/>
    </row>
    <row r="138" spans="1:7" x14ac:dyDescent="0.2">
      <c r="A138" s="82"/>
      <c r="B138" s="82"/>
      <c r="C138" s="80"/>
      <c r="D138" s="80"/>
      <c r="E138" s="81"/>
      <c r="G138" s="83"/>
    </row>
    <row r="139" spans="1:7" x14ac:dyDescent="0.2">
      <c r="A139" s="82"/>
      <c r="B139" s="82"/>
      <c r="C139" s="80"/>
      <c r="D139" s="80"/>
      <c r="E139" s="81"/>
      <c r="G139" s="83"/>
    </row>
    <row r="140" spans="1:7" x14ac:dyDescent="0.2">
      <c r="A140" s="82"/>
      <c r="B140" s="82"/>
      <c r="C140" s="80"/>
      <c r="D140" s="80"/>
      <c r="E140" s="81"/>
      <c r="G140" s="83"/>
    </row>
    <row r="141" spans="1:7" x14ac:dyDescent="0.2">
      <c r="A141" s="82"/>
      <c r="B141" s="82"/>
      <c r="C141" s="80"/>
      <c r="D141" s="80"/>
      <c r="E141" s="81"/>
      <c r="G141" s="83"/>
    </row>
    <row r="142" spans="1:7" x14ac:dyDescent="0.2">
      <c r="A142" s="82"/>
      <c r="B142" s="82"/>
      <c r="C142" s="80"/>
      <c r="D142" s="80"/>
      <c r="E142" s="81"/>
      <c r="G142" s="83"/>
    </row>
    <row r="143" spans="1:7" x14ac:dyDescent="0.2">
      <c r="A143" s="82"/>
      <c r="B143" s="82"/>
      <c r="C143" s="80"/>
      <c r="D143" s="80"/>
      <c r="E143" s="81"/>
      <c r="G143" s="76"/>
    </row>
    <row r="144" spans="1:7" x14ac:dyDescent="0.2">
      <c r="A144" s="1"/>
      <c r="B144" s="1"/>
      <c r="C144" s="6"/>
      <c r="D144" s="6"/>
      <c r="E144" s="5"/>
    </row>
    <row r="145" spans="1:5" x14ac:dyDescent="0.2">
      <c r="A145" s="1"/>
      <c r="B145" s="1"/>
      <c r="C145" s="6"/>
      <c r="D145" s="6"/>
      <c r="E145" s="5"/>
    </row>
    <row r="146" spans="1:5" x14ac:dyDescent="0.2">
      <c r="A146" s="1"/>
      <c r="B146" s="1"/>
      <c r="C146" s="6"/>
      <c r="D146" s="6"/>
      <c r="E146" s="5"/>
    </row>
    <row r="147" spans="1:5" ht="17" thickBot="1" x14ac:dyDescent="0.25">
      <c r="A147" s="1"/>
      <c r="B147" s="1"/>
      <c r="C147" s="6"/>
      <c r="D147" s="6"/>
      <c r="E147" s="5"/>
    </row>
    <row r="148" spans="1:5" x14ac:dyDescent="0.2">
      <c r="A148" s="413" t="s">
        <v>619</v>
      </c>
      <c r="B148" s="414"/>
      <c r="C148" s="414"/>
      <c r="D148" s="414"/>
      <c r="E148" s="415"/>
    </row>
    <row r="149" spans="1:5" x14ac:dyDescent="0.2">
      <c r="A149" s="213" t="s">
        <v>622</v>
      </c>
      <c r="B149" s="208" t="s">
        <v>614</v>
      </c>
      <c r="C149" s="300"/>
      <c r="D149" s="214" t="s">
        <v>617</v>
      </c>
      <c r="E149" s="215"/>
    </row>
    <row r="150" spans="1:5" x14ac:dyDescent="0.2">
      <c r="A150" s="79" t="str">
        <f>'TOT. GLASS'!A94</f>
        <v xml:space="preserve">Reusing </v>
      </c>
      <c r="B150" s="234">
        <f>'TOT. GLASS'!B94</f>
        <v>2306</v>
      </c>
      <c r="C150" s="75">
        <f>B150/B$1</f>
        <v>0.11502968025140919</v>
      </c>
      <c r="D150" s="234">
        <f>'TOT. GLASS'!D94</f>
        <v>1117.9400000000003</v>
      </c>
      <c r="E150" s="210">
        <f>D150/D$1</f>
        <v>0.5225234657410931</v>
      </c>
    </row>
    <row r="151" spans="1:5" x14ac:dyDescent="0.2">
      <c r="A151" s="79" t="str">
        <f>'TOT. GLASS'!A95</f>
        <v>Downcycling</v>
      </c>
      <c r="B151" s="234">
        <f>'TOT. GLASS'!B95+'TOT. PLASTIC'!B148+'TOT. METAL'!B89</f>
        <v>15832</v>
      </c>
      <c r="C151" s="75">
        <f t="shared" ref="C151:C152" si="13">B151/B$1</f>
        <v>0.78974410136179973</v>
      </c>
      <c r="D151" s="234">
        <f>'TOT. GLASS'!D95+'TOT. PLASTIC'!D148+'TOT. METAL'!D89</f>
        <v>941.44249999999977</v>
      </c>
      <c r="E151" s="210">
        <f>D151/D$1</f>
        <v>0.440028801094834</v>
      </c>
    </row>
    <row r="152" spans="1:5" ht="17" thickBot="1" x14ac:dyDescent="0.25">
      <c r="A152" s="84" t="str">
        <f>'TOT. PLASTIC'!A149</f>
        <v>Landfill</v>
      </c>
      <c r="B152" s="241">
        <f>'TOT. PLASTIC'!B149+'TOT. METAL'!B90+TetraPak!B99</f>
        <v>1909</v>
      </c>
      <c r="C152" s="85">
        <f t="shared" si="13"/>
        <v>9.5226218386791045E-2</v>
      </c>
      <c r="D152" s="241">
        <f>'TOT. PLASTIC'!D149+'TOT. METAL'!D90+TetraPak!D99</f>
        <v>80.119499999999988</v>
      </c>
      <c r="E152" s="212">
        <f>D152/D$1</f>
        <v>3.7447733164072745E-2</v>
      </c>
    </row>
    <row r="153" spans="1:5" x14ac:dyDescent="0.2">
      <c r="A153" s="1"/>
      <c r="B153" s="262">
        <f>SUM(B150:B152)-B1</f>
        <v>0</v>
      </c>
      <c r="D153" s="262">
        <f>SUM(D150:D152)-D1</f>
        <v>0</v>
      </c>
    </row>
  </sheetData>
  <mergeCells count="7">
    <mergeCell ref="A148:E148"/>
    <mergeCell ref="A127:E127"/>
    <mergeCell ref="A24:E24"/>
    <mergeCell ref="A3:E3"/>
    <mergeCell ref="A96:E96"/>
    <mergeCell ref="A73:E73"/>
    <mergeCell ref="A49:E49"/>
  </mergeCells>
  <pageMargins left="0.7" right="0.7" top="0.75" bottom="0.75" header="0.3" footer="0.3"/>
  <ignoredErrors>
    <ignoredError sqref="C5:C8" 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E0E5-30E1-1D42-9087-ECCC9B013810}">
  <sheetPr>
    <tabColor theme="7" tint="0.79998168889431442"/>
  </sheetPr>
  <dimension ref="A1:J118"/>
  <sheetViews>
    <sheetView zoomScaleNormal="100" workbookViewId="0"/>
  </sheetViews>
  <sheetFormatPr baseColWidth="10" defaultColWidth="10.6640625" defaultRowHeight="16" x14ac:dyDescent="0.2"/>
  <cols>
    <col min="1" max="1" width="26.33203125" customWidth="1"/>
    <col min="2" max="2" width="33.1640625" customWidth="1"/>
    <col min="3" max="4" width="7" customWidth="1"/>
    <col min="5" max="5" width="15.1640625" customWidth="1"/>
    <col min="6" max="6" width="11.83203125" customWidth="1"/>
    <col min="7" max="7" width="12" customWidth="1"/>
    <col min="8" max="8" width="18.83203125" customWidth="1"/>
    <col min="9" max="10" width="11.6640625" customWidth="1"/>
  </cols>
  <sheetData>
    <row r="1" spans="1:10" s="4" customFormat="1" ht="34" x14ac:dyDescent="0.4">
      <c r="A1" s="3" t="s">
        <v>189</v>
      </c>
      <c r="C1" s="420">
        <f>SUM(C4:C39)</f>
        <v>403</v>
      </c>
      <c r="D1" s="420"/>
      <c r="E1" s="108">
        <f>0.045*C1</f>
        <v>18.134999999999998</v>
      </c>
      <c r="F1" s="107" t="s">
        <v>236</v>
      </c>
    </row>
    <row r="2" spans="1:10" ht="17" thickBot="1" x14ac:dyDescent="0.25">
      <c r="D2" s="8"/>
    </row>
    <row r="3" spans="1:10" s="1" customFormat="1" ht="34" customHeight="1" thickBot="1" x14ac:dyDescent="0.25">
      <c r="A3" s="71" t="s">
        <v>20</v>
      </c>
      <c r="B3" s="72" t="s">
        <v>2</v>
      </c>
      <c r="C3" s="419" t="s">
        <v>3</v>
      </c>
      <c r="D3" s="419"/>
      <c r="E3" s="72" t="s">
        <v>1</v>
      </c>
      <c r="F3" s="72" t="s">
        <v>186</v>
      </c>
      <c r="G3" s="72" t="s">
        <v>5</v>
      </c>
      <c r="H3" s="137" t="s">
        <v>16</v>
      </c>
      <c r="I3" s="275" t="s">
        <v>367</v>
      </c>
      <c r="J3" s="60" t="s">
        <v>708</v>
      </c>
    </row>
    <row r="4" spans="1:10" x14ac:dyDescent="0.2">
      <c r="A4" s="22" t="s">
        <v>65</v>
      </c>
      <c r="B4" s="23" t="s">
        <v>142</v>
      </c>
      <c r="C4" s="24">
        <v>113</v>
      </c>
      <c r="D4" s="25">
        <f t="shared" ref="D4:D39" si="0">C4/$C$1</f>
        <v>0.28039702233250619</v>
      </c>
      <c r="E4" s="26" t="s">
        <v>68</v>
      </c>
      <c r="F4" s="26" t="s">
        <v>190</v>
      </c>
      <c r="G4" s="26" t="s">
        <v>7</v>
      </c>
      <c r="H4" s="186" t="s">
        <v>441</v>
      </c>
      <c r="I4" s="277">
        <f>C4*$J$4/1000</f>
        <v>5.085</v>
      </c>
      <c r="J4" s="429">
        <v>45</v>
      </c>
    </row>
    <row r="5" spans="1:10" x14ac:dyDescent="0.2">
      <c r="A5" s="28" t="s">
        <v>65</v>
      </c>
      <c r="B5" s="14" t="s">
        <v>659</v>
      </c>
      <c r="C5" s="15">
        <v>17</v>
      </c>
      <c r="D5" s="20">
        <f t="shared" si="0"/>
        <v>4.2183622828784122E-2</v>
      </c>
      <c r="E5" s="16" t="s">
        <v>616</v>
      </c>
      <c r="F5" s="16" t="s">
        <v>190</v>
      </c>
      <c r="G5" s="16" t="s">
        <v>7</v>
      </c>
      <c r="H5" s="89" t="s">
        <v>441</v>
      </c>
      <c r="I5" s="278">
        <f t="shared" ref="I5:I39" si="1">C5*$J$4/1000</f>
        <v>0.76500000000000001</v>
      </c>
      <c r="J5" s="430"/>
    </row>
    <row r="6" spans="1:10" x14ac:dyDescent="0.2">
      <c r="A6" s="28" t="s">
        <v>65</v>
      </c>
      <c r="B6" s="14" t="s">
        <v>660</v>
      </c>
      <c r="C6" s="15">
        <v>7</v>
      </c>
      <c r="D6" s="20">
        <f t="shared" si="0"/>
        <v>1.7369727047146403E-2</v>
      </c>
      <c r="E6" s="16" t="s">
        <v>616</v>
      </c>
      <c r="F6" s="16" t="s">
        <v>190</v>
      </c>
      <c r="G6" s="16" t="s">
        <v>7</v>
      </c>
      <c r="H6" s="89" t="s">
        <v>441</v>
      </c>
      <c r="I6" s="278">
        <f t="shared" si="1"/>
        <v>0.315</v>
      </c>
      <c r="J6" s="430"/>
    </row>
    <row r="7" spans="1:10" x14ac:dyDescent="0.2">
      <c r="A7" s="28" t="s">
        <v>65</v>
      </c>
      <c r="B7" s="14" t="s">
        <v>153</v>
      </c>
      <c r="C7" s="15">
        <v>2</v>
      </c>
      <c r="D7" s="20">
        <f t="shared" si="0"/>
        <v>4.9627791563275434E-3</v>
      </c>
      <c r="E7" s="16" t="s">
        <v>616</v>
      </c>
      <c r="F7" s="16" t="s">
        <v>190</v>
      </c>
      <c r="G7" s="16" t="s">
        <v>7</v>
      </c>
      <c r="H7" s="89" t="s">
        <v>441</v>
      </c>
      <c r="I7" s="117">
        <f t="shared" si="1"/>
        <v>0.09</v>
      </c>
      <c r="J7" s="430"/>
    </row>
    <row r="8" spans="1:10" ht="17" thickBot="1" x14ac:dyDescent="0.25">
      <c r="A8" s="301" t="s">
        <v>65</v>
      </c>
      <c r="B8" s="66" t="s">
        <v>146</v>
      </c>
      <c r="C8" s="337">
        <v>31</v>
      </c>
      <c r="D8" s="338">
        <f t="shared" si="0"/>
        <v>7.6923076923076927E-2</v>
      </c>
      <c r="E8" s="67" t="s">
        <v>68</v>
      </c>
      <c r="F8" s="67" t="s">
        <v>190</v>
      </c>
      <c r="G8" s="67" t="s">
        <v>7</v>
      </c>
      <c r="H8" s="364" t="s">
        <v>441</v>
      </c>
      <c r="I8" s="267">
        <f t="shared" si="1"/>
        <v>1.395</v>
      </c>
      <c r="J8" s="430"/>
    </row>
    <row r="9" spans="1:10" ht="17" thickBot="1" x14ac:dyDescent="0.25">
      <c r="A9" s="411" t="s">
        <v>732</v>
      </c>
      <c r="B9" s="42" t="s">
        <v>143</v>
      </c>
      <c r="C9" s="43">
        <v>28</v>
      </c>
      <c r="D9" s="44">
        <f t="shared" si="0"/>
        <v>6.9478908188585611E-2</v>
      </c>
      <c r="E9" s="45" t="s">
        <v>68</v>
      </c>
      <c r="F9" s="45" t="s">
        <v>190</v>
      </c>
      <c r="G9" s="45" t="s">
        <v>7</v>
      </c>
      <c r="H9" s="368" t="s">
        <v>441</v>
      </c>
      <c r="I9" s="266">
        <f t="shared" si="1"/>
        <v>1.26</v>
      </c>
      <c r="J9" s="430"/>
    </row>
    <row r="10" spans="1:10" ht="17" thickBot="1" x14ac:dyDescent="0.25">
      <c r="A10" s="35" t="s">
        <v>66</v>
      </c>
      <c r="B10" s="36" t="s">
        <v>144</v>
      </c>
      <c r="C10" s="37">
        <v>17</v>
      </c>
      <c r="D10" s="38">
        <f t="shared" si="0"/>
        <v>4.2183622828784122E-2</v>
      </c>
      <c r="E10" s="39" t="s">
        <v>68</v>
      </c>
      <c r="F10" s="39" t="s">
        <v>190</v>
      </c>
      <c r="G10" s="39" t="s">
        <v>7</v>
      </c>
      <c r="H10" s="345" t="s">
        <v>441</v>
      </c>
      <c r="I10" s="268">
        <f t="shared" si="1"/>
        <v>0.76500000000000001</v>
      </c>
      <c r="J10" s="430"/>
    </row>
    <row r="11" spans="1:10" ht="17" thickBot="1" x14ac:dyDescent="0.25">
      <c r="A11" s="35" t="s">
        <v>67</v>
      </c>
      <c r="B11" s="36" t="s">
        <v>145</v>
      </c>
      <c r="C11" s="37">
        <v>15</v>
      </c>
      <c r="D11" s="49">
        <f t="shared" si="0"/>
        <v>3.7220843672456573E-2</v>
      </c>
      <c r="E11" s="39" t="s">
        <v>68</v>
      </c>
      <c r="F11" s="39" t="s">
        <v>190</v>
      </c>
      <c r="G11" s="39" t="s">
        <v>7</v>
      </c>
      <c r="H11" s="345" t="s">
        <v>441</v>
      </c>
      <c r="I11" s="268">
        <f t="shared" si="1"/>
        <v>0.67500000000000004</v>
      </c>
      <c r="J11" s="430"/>
    </row>
    <row r="12" spans="1:10" ht="17" thickBot="1" x14ac:dyDescent="0.25">
      <c r="A12" s="412" t="s">
        <v>435</v>
      </c>
      <c r="B12" s="36" t="s">
        <v>70</v>
      </c>
      <c r="C12" s="37">
        <v>12</v>
      </c>
      <c r="D12" s="38">
        <f t="shared" si="0"/>
        <v>2.9776674937965261E-2</v>
      </c>
      <c r="E12" s="39" t="s">
        <v>616</v>
      </c>
      <c r="F12" s="39" t="s">
        <v>190</v>
      </c>
      <c r="G12" s="39" t="s">
        <v>7</v>
      </c>
      <c r="H12" s="345" t="s">
        <v>441</v>
      </c>
      <c r="I12" s="268">
        <f t="shared" si="1"/>
        <v>0.54</v>
      </c>
      <c r="J12" s="430"/>
    </row>
    <row r="13" spans="1:10" ht="17" thickBot="1" x14ac:dyDescent="0.25">
      <c r="A13" s="70" t="s">
        <v>82</v>
      </c>
      <c r="B13" s="36" t="s">
        <v>678</v>
      </c>
      <c r="C13" s="37">
        <v>10</v>
      </c>
      <c r="D13" s="38">
        <f t="shared" si="0"/>
        <v>2.4813895781637719E-2</v>
      </c>
      <c r="E13" s="39" t="s">
        <v>616</v>
      </c>
      <c r="F13" s="39" t="s">
        <v>190</v>
      </c>
      <c r="G13" s="39" t="s">
        <v>7</v>
      </c>
      <c r="H13" s="345" t="s">
        <v>441</v>
      </c>
      <c r="I13" s="268">
        <f t="shared" si="1"/>
        <v>0.45</v>
      </c>
      <c r="J13" s="430"/>
    </row>
    <row r="14" spans="1:10" ht="17" thickBot="1" x14ac:dyDescent="0.25">
      <c r="A14" s="41" t="s">
        <v>73</v>
      </c>
      <c r="B14" s="42" t="s">
        <v>71</v>
      </c>
      <c r="C14" s="43">
        <v>12</v>
      </c>
      <c r="D14" s="44">
        <f t="shared" si="0"/>
        <v>2.9776674937965261E-2</v>
      </c>
      <c r="E14" s="45" t="s">
        <v>616</v>
      </c>
      <c r="F14" s="45" t="s">
        <v>190</v>
      </c>
      <c r="G14" s="45" t="s">
        <v>7</v>
      </c>
      <c r="H14" s="368" t="s">
        <v>441</v>
      </c>
      <c r="I14" s="266">
        <f t="shared" si="1"/>
        <v>0.54</v>
      </c>
      <c r="J14" s="430"/>
    </row>
    <row r="15" spans="1:10" ht="18" thickBot="1" x14ac:dyDescent="0.25">
      <c r="A15" s="412" t="s">
        <v>435</v>
      </c>
      <c r="B15" s="46" t="s">
        <v>147</v>
      </c>
      <c r="C15" s="37">
        <v>11</v>
      </c>
      <c r="D15" s="38">
        <f t="shared" si="0"/>
        <v>2.729528535980149E-2</v>
      </c>
      <c r="E15" s="39" t="s">
        <v>68</v>
      </c>
      <c r="F15" s="39" t="s">
        <v>190</v>
      </c>
      <c r="G15" s="39" t="s">
        <v>7</v>
      </c>
      <c r="H15" s="345" t="s">
        <v>441</v>
      </c>
      <c r="I15" s="268">
        <f t="shared" si="1"/>
        <v>0.495</v>
      </c>
      <c r="J15" s="430"/>
    </row>
    <row r="16" spans="1:10" ht="17" thickBot="1" x14ac:dyDescent="0.25">
      <c r="A16" s="70" t="s">
        <v>86</v>
      </c>
      <c r="B16" s="36" t="s">
        <v>680</v>
      </c>
      <c r="C16" s="37">
        <v>7</v>
      </c>
      <c r="D16" s="38">
        <f t="shared" si="0"/>
        <v>1.7369727047146403E-2</v>
      </c>
      <c r="E16" s="39" t="s">
        <v>616</v>
      </c>
      <c r="F16" s="39" t="s">
        <v>190</v>
      </c>
      <c r="G16" s="39" t="s">
        <v>7</v>
      </c>
      <c r="H16" s="345" t="s">
        <v>441</v>
      </c>
      <c r="I16" s="268">
        <f t="shared" si="1"/>
        <v>0.315</v>
      </c>
      <c r="J16" s="430"/>
    </row>
    <row r="17" spans="1:10" ht="17" thickBot="1" x14ac:dyDescent="0.25">
      <c r="A17" s="70" t="s">
        <v>87</v>
      </c>
      <c r="B17" s="36" t="s">
        <v>679</v>
      </c>
      <c r="C17" s="37">
        <v>7</v>
      </c>
      <c r="D17" s="38">
        <f t="shared" si="0"/>
        <v>1.7369727047146403E-2</v>
      </c>
      <c r="E17" s="39" t="s">
        <v>616</v>
      </c>
      <c r="F17" s="39" t="s">
        <v>190</v>
      </c>
      <c r="G17" s="39" t="s">
        <v>7</v>
      </c>
      <c r="H17" s="345" t="s">
        <v>441</v>
      </c>
      <c r="I17" s="268">
        <f t="shared" si="1"/>
        <v>0.315</v>
      </c>
      <c r="J17" s="430"/>
    </row>
    <row r="18" spans="1:10" ht="17" thickBot="1" x14ac:dyDescent="0.25">
      <c r="A18" s="412" t="s">
        <v>435</v>
      </c>
      <c r="B18" s="36" t="s">
        <v>69</v>
      </c>
      <c r="C18" s="37">
        <v>8</v>
      </c>
      <c r="D18" s="38">
        <f t="shared" si="0"/>
        <v>1.9851116625310174E-2</v>
      </c>
      <c r="E18" s="39" t="s">
        <v>616</v>
      </c>
      <c r="F18" s="39" t="s">
        <v>190</v>
      </c>
      <c r="G18" s="39" t="s">
        <v>7</v>
      </c>
      <c r="H18" s="345" t="s">
        <v>441</v>
      </c>
      <c r="I18" s="268">
        <f t="shared" si="1"/>
        <v>0.36</v>
      </c>
      <c r="J18" s="430"/>
    </row>
    <row r="19" spans="1:10" ht="17" thickBot="1" x14ac:dyDescent="0.25">
      <c r="A19" s="41" t="s">
        <v>72</v>
      </c>
      <c r="B19" s="42" t="s">
        <v>148</v>
      </c>
      <c r="C19" s="43">
        <v>8</v>
      </c>
      <c r="D19" s="44">
        <f t="shared" si="0"/>
        <v>1.9851116625310174E-2</v>
      </c>
      <c r="E19" s="45" t="s">
        <v>616</v>
      </c>
      <c r="F19" s="45" t="s">
        <v>190</v>
      </c>
      <c r="G19" s="45" t="s">
        <v>7</v>
      </c>
      <c r="H19" s="368" t="s">
        <v>441</v>
      </c>
      <c r="I19" s="266">
        <f t="shared" si="1"/>
        <v>0.36</v>
      </c>
      <c r="J19" s="430"/>
    </row>
    <row r="20" spans="1:10" ht="17" thickBot="1" x14ac:dyDescent="0.25">
      <c r="A20" s="251" t="s">
        <v>83</v>
      </c>
      <c r="B20" s="42" t="s">
        <v>160</v>
      </c>
      <c r="C20" s="43">
        <v>9</v>
      </c>
      <c r="D20" s="44">
        <f t="shared" si="0"/>
        <v>2.2332506203473945E-2</v>
      </c>
      <c r="E20" s="45" t="s">
        <v>385</v>
      </c>
      <c r="F20" s="45" t="s">
        <v>190</v>
      </c>
      <c r="G20" s="45" t="s">
        <v>7</v>
      </c>
      <c r="H20" s="368" t="s">
        <v>441</v>
      </c>
      <c r="I20" s="266">
        <f t="shared" si="1"/>
        <v>0.40500000000000003</v>
      </c>
      <c r="J20" s="430"/>
    </row>
    <row r="21" spans="1:10" ht="17" thickBot="1" x14ac:dyDescent="0.25">
      <c r="A21" s="35" t="s">
        <v>76</v>
      </c>
      <c r="B21" s="36" t="s">
        <v>149</v>
      </c>
      <c r="C21" s="37">
        <v>5</v>
      </c>
      <c r="D21" s="38">
        <f t="shared" si="0"/>
        <v>1.2406947890818859E-2</v>
      </c>
      <c r="E21" s="39" t="s">
        <v>68</v>
      </c>
      <c r="F21" s="39" t="s">
        <v>190</v>
      </c>
      <c r="G21" s="39" t="s">
        <v>7</v>
      </c>
      <c r="H21" s="345" t="s">
        <v>441</v>
      </c>
      <c r="I21" s="268">
        <f t="shared" si="1"/>
        <v>0.22500000000000001</v>
      </c>
      <c r="J21" s="430"/>
    </row>
    <row r="22" spans="1:10" ht="17" thickBot="1" x14ac:dyDescent="0.25">
      <c r="A22" s="412" t="s">
        <v>435</v>
      </c>
      <c r="B22" s="36" t="s">
        <v>161</v>
      </c>
      <c r="C22" s="37">
        <v>9</v>
      </c>
      <c r="D22" s="38">
        <f t="shared" si="0"/>
        <v>2.2332506203473945E-2</v>
      </c>
      <c r="E22" s="39" t="s">
        <v>385</v>
      </c>
      <c r="F22" s="39" t="s">
        <v>190</v>
      </c>
      <c r="G22" s="39" t="s">
        <v>7</v>
      </c>
      <c r="H22" s="345" t="s">
        <v>441</v>
      </c>
      <c r="I22" s="268">
        <f t="shared" si="1"/>
        <v>0.40500000000000003</v>
      </c>
      <c r="J22" s="430"/>
    </row>
    <row r="23" spans="1:10" ht="17" thickBot="1" x14ac:dyDescent="0.25">
      <c r="A23" s="412" t="s">
        <v>435</v>
      </c>
      <c r="B23" s="42" t="s">
        <v>162</v>
      </c>
      <c r="C23" s="43">
        <v>7</v>
      </c>
      <c r="D23" s="44">
        <f t="shared" si="0"/>
        <v>1.7369727047146403E-2</v>
      </c>
      <c r="E23" s="45" t="s">
        <v>385</v>
      </c>
      <c r="F23" s="45" t="s">
        <v>190</v>
      </c>
      <c r="G23" s="45" t="s">
        <v>7</v>
      </c>
      <c r="H23" s="368" t="s">
        <v>441</v>
      </c>
      <c r="I23" s="266">
        <f t="shared" si="1"/>
        <v>0.315</v>
      </c>
      <c r="J23" s="430"/>
    </row>
    <row r="24" spans="1:10" ht="17" thickBot="1" x14ac:dyDescent="0.25">
      <c r="A24" s="412" t="s">
        <v>435</v>
      </c>
      <c r="B24" s="36" t="s">
        <v>152</v>
      </c>
      <c r="C24" s="37">
        <v>5</v>
      </c>
      <c r="D24" s="38">
        <f t="shared" si="0"/>
        <v>1.2406947890818859E-2</v>
      </c>
      <c r="E24" s="39" t="s">
        <v>68</v>
      </c>
      <c r="F24" s="39" t="s">
        <v>190</v>
      </c>
      <c r="G24" s="39" t="s">
        <v>7</v>
      </c>
      <c r="H24" s="345" t="s">
        <v>441</v>
      </c>
      <c r="I24" s="268">
        <f t="shared" si="1"/>
        <v>0.22500000000000001</v>
      </c>
      <c r="J24" s="430"/>
    </row>
    <row r="25" spans="1:10" ht="17" thickBot="1" x14ac:dyDescent="0.25">
      <c r="A25" s="412" t="s">
        <v>435</v>
      </c>
      <c r="B25" s="42" t="s">
        <v>74</v>
      </c>
      <c r="C25" s="43">
        <v>3</v>
      </c>
      <c r="D25" s="44">
        <f t="shared" si="0"/>
        <v>7.4441687344913151E-3</v>
      </c>
      <c r="E25" s="45" t="s">
        <v>616</v>
      </c>
      <c r="F25" s="45" t="s">
        <v>190</v>
      </c>
      <c r="G25" s="45" t="s">
        <v>7</v>
      </c>
      <c r="H25" s="368" t="s">
        <v>441</v>
      </c>
      <c r="I25" s="266">
        <f t="shared" si="1"/>
        <v>0.13500000000000001</v>
      </c>
      <c r="J25" s="430"/>
    </row>
    <row r="26" spans="1:10" ht="17" thickBot="1" x14ac:dyDescent="0.25">
      <c r="A26" s="412" t="s">
        <v>435</v>
      </c>
      <c r="B26" s="36" t="s">
        <v>75</v>
      </c>
      <c r="C26" s="37">
        <v>3</v>
      </c>
      <c r="D26" s="38">
        <f t="shared" si="0"/>
        <v>7.4441687344913151E-3</v>
      </c>
      <c r="E26" s="39" t="s">
        <v>616</v>
      </c>
      <c r="F26" s="39" t="s">
        <v>190</v>
      </c>
      <c r="G26" s="39" t="s">
        <v>7</v>
      </c>
      <c r="H26" s="345" t="s">
        <v>441</v>
      </c>
      <c r="I26" s="268">
        <f t="shared" si="1"/>
        <v>0.13500000000000001</v>
      </c>
      <c r="J26" s="430"/>
    </row>
    <row r="27" spans="1:10" ht="17" thickBot="1" x14ac:dyDescent="0.25">
      <c r="A27" s="41" t="s">
        <v>77</v>
      </c>
      <c r="B27" s="42" t="s">
        <v>151</v>
      </c>
      <c r="C27" s="43">
        <v>7</v>
      </c>
      <c r="D27" s="44">
        <f t="shared" si="0"/>
        <v>1.7369727047146403E-2</v>
      </c>
      <c r="E27" s="45" t="s">
        <v>616</v>
      </c>
      <c r="F27" s="45" t="s">
        <v>190</v>
      </c>
      <c r="G27" s="45" t="s">
        <v>6</v>
      </c>
      <c r="H27" s="368" t="s">
        <v>441</v>
      </c>
      <c r="I27" s="266">
        <f t="shared" si="1"/>
        <v>0.315</v>
      </c>
      <c r="J27" s="430"/>
    </row>
    <row r="28" spans="1:10" ht="17" thickBot="1" x14ac:dyDescent="0.25">
      <c r="A28" s="412" t="s">
        <v>435</v>
      </c>
      <c r="B28" s="36" t="s">
        <v>159</v>
      </c>
      <c r="C28" s="37">
        <v>3</v>
      </c>
      <c r="D28" s="38">
        <f t="shared" si="0"/>
        <v>7.4441687344913151E-3</v>
      </c>
      <c r="E28" s="39" t="s">
        <v>68</v>
      </c>
      <c r="F28" s="39" t="s">
        <v>190</v>
      </c>
      <c r="G28" s="39" t="s">
        <v>7</v>
      </c>
      <c r="H28" s="345" t="s">
        <v>441</v>
      </c>
      <c r="I28" s="268">
        <f t="shared" si="1"/>
        <v>0.13500000000000001</v>
      </c>
      <c r="J28" s="430"/>
    </row>
    <row r="29" spans="1:10" ht="17" thickBot="1" x14ac:dyDescent="0.25">
      <c r="A29" s="412" t="s">
        <v>435</v>
      </c>
      <c r="B29" s="36" t="s">
        <v>150</v>
      </c>
      <c r="C29" s="37">
        <v>2</v>
      </c>
      <c r="D29" s="38">
        <f t="shared" si="0"/>
        <v>4.9627791563275434E-3</v>
      </c>
      <c r="E29" s="39" t="s">
        <v>68</v>
      </c>
      <c r="F29" s="39" t="s">
        <v>190</v>
      </c>
      <c r="G29" s="39" t="s">
        <v>7</v>
      </c>
      <c r="H29" s="345" t="s">
        <v>441</v>
      </c>
      <c r="I29" s="268">
        <f t="shared" si="1"/>
        <v>0.09</v>
      </c>
      <c r="J29" s="430"/>
    </row>
    <row r="30" spans="1:10" ht="17" thickBot="1" x14ac:dyDescent="0.25">
      <c r="A30" s="412" t="s">
        <v>435</v>
      </c>
      <c r="B30" s="36" t="s">
        <v>155</v>
      </c>
      <c r="C30" s="37">
        <v>2</v>
      </c>
      <c r="D30" s="38">
        <f t="shared" si="0"/>
        <v>4.9627791563275434E-3</v>
      </c>
      <c r="E30" s="39" t="s">
        <v>68</v>
      </c>
      <c r="F30" s="39" t="s">
        <v>190</v>
      </c>
      <c r="G30" s="39" t="s">
        <v>7</v>
      </c>
      <c r="H30" s="345" t="s">
        <v>441</v>
      </c>
      <c r="I30" s="268">
        <f t="shared" si="1"/>
        <v>0.09</v>
      </c>
      <c r="J30" s="430"/>
    </row>
    <row r="31" spans="1:10" ht="17" thickBot="1" x14ac:dyDescent="0.25">
      <c r="A31" s="412" t="s">
        <v>435</v>
      </c>
      <c r="B31" s="42" t="s">
        <v>156</v>
      </c>
      <c r="C31" s="43">
        <v>2</v>
      </c>
      <c r="D31" s="44">
        <f t="shared" si="0"/>
        <v>4.9627791563275434E-3</v>
      </c>
      <c r="E31" s="45" t="s">
        <v>68</v>
      </c>
      <c r="F31" s="45" t="s">
        <v>190</v>
      </c>
      <c r="G31" s="45" t="s">
        <v>7</v>
      </c>
      <c r="H31" s="368" t="s">
        <v>441</v>
      </c>
      <c r="I31" s="266">
        <f t="shared" si="1"/>
        <v>0.09</v>
      </c>
      <c r="J31" s="430"/>
    </row>
    <row r="32" spans="1:10" ht="17" thickBot="1" x14ac:dyDescent="0.25">
      <c r="A32" s="70" t="s">
        <v>80</v>
      </c>
      <c r="B32" s="36" t="s">
        <v>157</v>
      </c>
      <c r="C32" s="37">
        <v>2</v>
      </c>
      <c r="D32" s="38">
        <f t="shared" si="0"/>
        <v>4.9627791563275434E-3</v>
      </c>
      <c r="E32" s="39" t="s">
        <v>68</v>
      </c>
      <c r="F32" s="39" t="s">
        <v>190</v>
      </c>
      <c r="G32" s="39" t="s">
        <v>7</v>
      </c>
      <c r="H32" s="345" t="s">
        <v>441</v>
      </c>
      <c r="I32" s="268">
        <f t="shared" si="1"/>
        <v>0.09</v>
      </c>
      <c r="J32" s="430"/>
    </row>
    <row r="33" spans="1:10" ht="17" thickBot="1" x14ac:dyDescent="0.25">
      <c r="A33" s="412" t="s">
        <v>435</v>
      </c>
      <c r="B33" s="36" t="s">
        <v>158</v>
      </c>
      <c r="C33" s="37">
        <v>2</v>
      </c>
      <c r="D33" s="38">
        <f t="shared" si="0"/>
        <v>4.9627791563275434E-3</v>
      </c>
      <c r="E33" s="39" t="s">
        <v>656</v>
      </c>
      <c r="F33" s="39" t="s">
        <v>190</v>
      </c>
      <c r="G33" s="39" t="s">
        <v>7</v>
      </c>
      <c r="H33" s="345" t="s">
        <v>441</v>
      </c>
      <c r="I33" s="268">
        <f t="shared" si="1"/>
        <v>0.09</v>
      </c>
      <c r="J33" s="430"/>
    </row>
    <row r="34" spans="1:10" ht="17" thickBot="1" x14ac:dyDescent="0.25">
      <c r="A34" s="251" t="s">
        <v>79</v>
      </c>
      <c r="B34" s="42" t="s">
        <v>154</v>
      </c>
      <c r="C34" s="43">
        <v>1</v>
      </c>
      <c r="D34" s="44">
        <f t="shared" si="0"/>
        <v>2.4813895781637717E-3</v>
      </c>
      <c r="E34" s="45" t="s">
        <v>68</v>
      </c>
      <c r="F34" s="45" t="s">
        <v>190</v>
      </c>
      <c r="G34" s="45" t="s">
        <v>7</v>
      </c>
      <c r="H34" s="368" t="s">
        <v>441</v>
      </c>
      <c r="I34" s="266">
        <f t="shared" si="1"/>
        <v>4.4999999999999998E-2</v>
      </c>
      <c r="J34" s="430"/>
    </row>
    <row r="35" spans="1:10" ht="17" thickBot="1" x14ac:dyDescent="0.25">
      <c r="A35" s="70" t="s">
        <v>81</v>
      </c>
      <c r="B35" s="36" t="s">
        <v>677</v>
      </c>
      <c r="C35" s="37">
        <v>1</v>
      </c>
      <c r="D35" s="38">
        <f t="shared" si="0"/>
        <v>2.4813895781637717E-3</v>
      </c>
      <c r="E35" s="39" t="s">
        <v>616</v>
      </c>
      <c r="F35" s="39" t="s">
        <v>190</v>
      </c>
      <c r="G35" s="39" t="s">
        <v>7</v>
      </c>
      <c r="H35" s="345" t="s">
        <v>441</v>
      </c>
      <c r="I35" s="268">
        <f t="shared" si="1"/>
        <v>4.4999999999999998E-2</v>
      </c>
      <c r="J35" s="430"/>
    </row>
    <row r="36" spans="1:10" ht="17" thickBot="1" x14ac:dyDescent="0.25">
      <c r="A36" s="412" t="s">
        <v>435</v>
      </c>
      <c r="B36" s="36" t="s">
        <v>676</v>
      </c>
      <c r="C36" s="37">
        <v>3</v>
      </c>
      <c r="D36" s="38">
        <f t="shared" si="0"/>
        <v>7.4441687344913151E-3</v>
      </c>
      <c r="E36" s="39" t="s">
        <v>616</v>
      </c>
      <c r="F36" s="39" t="s">
        <v>190</v>
      </c>
      <c r="G36" s="39" t="s">
        <v>7</v>
      </c>
      <c r="H36" s="345" t="s">
        <v>441</v>
      </c>
      <c r="I36" s="268">
        <f t="shared" si="1"/>
        <v>0.13500000000000001</v>
      </c>
      <c r="J36" s="430"/>
    </row>
    <row r="37" spans="1:10" x14ac:dyDescent="0.2">
      <c r="A37" s="120" t="s">
        <v>435</v>
      </c>
      <c r="B37" s="47" t="s">
        <v>84</v>
      </c>
      <c r="C37" s="24">
        <v>8</v>
      </c>
      <c r="D37" s="25">
        <f t="shared" si="0"/>
        <v>1.9851116625310174E-2</v>
      </c>
      <c r="E37" s="26" t="s">
        <v>68</v>
      </c>
      <c r="F37" s="26" t="s">
        <v>190</v>
      </c>
      <c r="G37" s="26" t="s">
        <v>7</v>
      </c>
      <c r="H37" s="186" t="s">
        <v>441</v>
      </c>
      <c r="I37" s="277">
        <f t="shared" si="1"/>
        <v>0.36</v>
      </c>
      <c r="J37" s="430"/>
    </row>
    <row r="38" spans="1:10" x14ac:dyDescent="0.2">
      <c r="A38" s="102" t="s">
        <v>435</v>
      </c>
      <c r="B38" s="18" t="s">
        <v>85</v>
      </c>
      <c r="C38" s="15">
        <v>2</v>
      </c>
      <c r="D38" s="20">
        <f t="shared" si="0"/>
        <v>4.9627791563275434E-3</v>
      </c>
      <c r="E38" s="16" t="s">
        <v>385</v>
      </c>
      <c r="F38" s="16" t="s">
        <v>190</v>
      </c>
      <c r="G38" s="16" t="s">
        <v>7</v>
      </c>
      <c r="H38" s="89" t="s">
        <v>441</v>
      </c>
      <c r="I38" s="278">
        <f t="shared" si="1"/>
        <v>0.09</v>
      </c>
      <c r="J38" s="430"/>
    </row>
    <row r="39" spans="1:10" ht="17" thickBot="1" x14ac:dyDescent="0.25">
      <c r="A39" s="103" t="s">
        <v>435</v>
      </c>
      <c r="B39" s="48" t="s">
        <v>675</v>
      </c>
      <c r="C39" s="32">
        <v>22</v>
      </c>
      <c r="D39" s="33">
        <f t="shared" si="0"/>
        <v>5.4590570719602979E-2</v>
      </c>
      <c r="E39" s="34" t="s">
        <v>616</v>
      </c>
      <c r="F39" s="34" t="s">
        <v>190</v>
      </c>
      <c r="G39" s="34" t="s">
        <v>7</v>
      </c>
      <c r="H39" s="191" t="s">
        <v>441</v>
      </c>
      <c r="I39" s="279">
        <f t="shared" si="1"/>
        <v>0.99</v>
      </c>
      <c r="J39" s="431"/>
    </row>
    <row r="40" spans="1:10" x14ac:dyDescent="0.2">
      <c r="A40" s="81"/>
      <c r="B40" s="276"/>
      <c r="C40" s="80"/>
      <c r="D40" s="194"/>
      <c r="E40" s="81"/>
      <c r="F40" s="81"/>
      <c r="G40" s="81"/>
      <c r="H40" s="81"/>
      <c r="I40" s="5"/>
      <c r="J40" s="5"/>
    </row>
    <row r="41" spans="1:10" ht="17" thickBot="1" x14ac:dyDescent="0.25">
      <c r="A41" s="81"/>
      <c r="B41" s="276"/>
      <c r="C41" s="80"/>
      <c r="D41" s="194"/>
      <c r="E41" s="81"/>
      <c r="F41" s="81"/>
      <c r="G41" s="81"/>
      <c r="H41" s="81"/>
      <c r="I41" s="5"/>
      <c r="J41" s="5"/>
    </row>
    <row r="42" spans="1:10" x14ac:dyDescent="0.2">
      <c r="A42" s="413" t="s">
        <v>671</v>
      </c>
      <c r="B42" s="414"/>
      <c r="C42" s="414"/>
      <c r="D42" s="414"/>
      <c r="E42" s="415"/>
      <c r="F42" s="5"/>
      <c r="G42" s="5"/>
      <c r="H42" s="5"/>
      <c r="I42" s="5"/>
      <c r="J42" s="5"/>
    </row>
    <row r="43" spans="1:10" x14ac:dyDescent="0.2">
      <c r="A43" s="213" t="s">
        <v>613</v>
      </c>
      <c r="B43" s="208" t="s">
        <v>614</v>
      </c>
      <c r="C43" s="209"/>
      <c r="D43" s="214" t="s">
        <v>617</v>
      </c>
      <c r="E43" s="215"/>
      <c r="F43" s="81"/>
      <c r="G43" s="81"/>
      <c r="H43" s="81"/>
      <c r="J43" s="5"/>
    </row>
    <row r="44" spans="1:10" x14ac:dyDescent="0.2">
      <c r="A44" s="79" t="str">
        <f>A4</f>
        <v>Cosmo Trade Co., Ltd</v>
      </c>
      <c r="B44" s="14">
        <f>SUMIF($A$4:$A$39,A44,$C$4:$C$39)</f>
        <v>170</v>
      </c>
      <c r="C44" s="75">
        <f t="shared" ref="C44:C48" si="2">B44/$C$1</f>
        <v>0.42183622828784118</v>
      </c>
      <c r="D44" s="225">
        <f>B44*$J$4/1000</f>
        <v>7.65</v>
      </c>
      <c r="E44" s="210">
        <f>D44/$E$1</f>
        <v>0.42183622828784123</v>
      </c>
      <c r="F44" s="81"/>
      <c r="G44" s="81"/>
      <c r="H44" s="81"/>
      <c r="J44" s="5"/>
    </row>
    <row r="45" spans="1:10" x14ac:dyDescent="0.2">
      <c r="A45" s="390" t="s">
        <v>732</v>
      </c>
      <c r="B45" s="74">
        <f>C9</f>
        <v>28</v>
      </c>
      <c r="C45" s="75">
        <f t="shared" si="2"/>
        <v>6.9478908188585611E-2</v>
      </c>
      <c r="D45" s="225">
        <f t="shared" ref="D45:D48" si="3">B45*$J$4/1000</f>
        <v>1.26</v>
      </c>
      <c r="E45" s="210">
        <f t="shared" ref="E45:E48" si="4">D45/$E$1</f>
        <v>6.9478908188585611E-2</v>
      </c>
      <c r="F45" s="81"/>
      <c r="G45" s="81"/>
      <c r="H45" s="81"/>
      <c r="J45" s="5"/>
    </row>
    <row r="46" spans="1:10" x14ac:dyDescent="0.2">
      <c r="A46" s="79" t="str">
        <f>A10</f>
        <v>Bayasakh International LLC</v>
      </c>
      <c r="B46" s="14">
        <f>SUMIF($A$4:$A$39,A46,$C$4:$C$39)</f>
        <v>17</v>
      </c>
      <c r="C46" s="75">
        <f t="shared" si="2"/>
        <v>4.2183622828784122E-2</v>
      </c>
      <c r="D46" s="225">
        <f t="shared" si="3"/>
        <v>0.76500000000000001</v>
      </c>
      <c r="E46" s="210">
        <f t="shared" si="4"/>
        <v>4.2183622828784122E-2</v>
      </c>
      <c r="F46" s="81"/>
      <c r="G46" s="81"/>
      <c r="H46" s="81"/>
      <c r="J46" s="5"/>
    </row>
    <row r="47" spans="1:10" x14ac:dyDescent="0.2">
      <c r="A47" s="79" t="str">
        <f>A11</f>
        <v>Asian Organic Food Import LLC</v>
      </c>
      <c r="B47" s="14">
        <f>SUMIF($A$4:$A$39,A47,$C$4:$C$39)</f>
        <v>15</v>
      </c>
      <c r="C47" s="75">
        <f t="shared" si="2"/>
        <v>3.7220843672456573E-2</v>
      </c>
      <c r="D47" s="225">
        <f t="shared" si="3"/>
        <v>0.67500000000000004</v>
      </c>
      <c r="E47" s="210">
        <f t="shared" si="4"/>
        <v>3.722084367245658E-2</v>
      </c>
      <c r="F47" s="81"/>
      <c r="G47" s="81"/>
      <c r="H47" s="81"/>
      <c r="J47" s="5"/>
    </row>
    <row r="48" spans="1:10" ht="17" thickBot="1" x14ac:dyDescent="0.25">
      <c r="A48" s="211" t="s">
        <v>435</v>
      </c>
      <c r="B48" s="271">
        <f>SUM(C12:C39)</f>
        <v>173</v>
      </c>
      <c r="C48" s="85">
        <f t="shared" si="2"/>
        <v>0.4292803970223325</v>
      </c>
      <c r="D48" s="224">
        <f t="shared" si="3"/>
        <v>7.7850000000000001</v>
      </c>
      <c r="E48" s="212">
        <f t="shared" si="4"/>
        <v>0.42928039702233256</v>
      </c>
      <c r="F48" s="81"/>
      <c r="G48" s="81"/>
      <c r="H48" s="81"/>
    </row>
    <row r="49" spans="1:8" x14ac:dyDescent="0.2">
      <c r="A49" s="76"/>
      <c r="B49" s="77">
        <f>SUM(B44:B48)-$C$1</f>
        <v>0</v>
      </c>
      <c r="C49" s="78"/>
      <c r="D49" s="226">
        <f>SUM(D44:D48)-$E1</f>
        <v>0</v>
      </c>
      <c r="E49" s="81"/>
      <c r="F49" s="81"/>
      <c r="G49" s="81"/>
      <c r="H49" s="81"/>
    </row>
    <row r="50" spans="1:8" x14ac:dyDescent="0.2">
      <c r="A50" s="76"/>
      <c r="B50" s="76"/>
      <c r="C50" s="78"/>
      <c r="D50" s="80"/>
      <c r="E50" s="81"/>
      <c r="F50" s="81"/>
      <c r="G50" s="81"/>
      <c r="H50" s="81"/>
    </row>
    <row r="51" spans="1:8" x14ac:dyDescent="0.2">
      <c r="A51" s="76"/>
      <c r="B51" s="76"/>
      <c r="C51" s="78"/>
      <c r="D51" s="80"/>
      <c r="E51" s="81"/>
      <c r="F51" s="81"/>
      <c r="G51" s="81"/>
      <c r="H51" s="81"/>
    </row>
    <row r="52" spans="1:8" x14ac:dyDescent="0.2">
      <c r="A52" s="76"/>
      <c r="B52" s="76"/>
      <c r="C52" s="78"/>
      <c r="D52" s="80"/>
      <c r="E52" s="81"/>
      <c r="F52" s="81"/>
      <c r="G52" s="81"/>
      <c r="H52" s="81"/>
    </row>
    <row r="53" spans="1:8" x14ac:dyDescent="0.2">
      <c r="A53" s="76"/>
      <c r="B53" s="76"/>
      <c r="C53" s="78"/>
      <c r="D53" s="80"/>
      <c r="E53" s="81"/>
      <c r="F53" s="81"/>
      <c r="G53" s="81"/>
      <c r="H53" s="81"/>
    </row>
    <row r="54" spans="1:8" x14ac:dyDescent="0.2">
      <c r="A54" s="76"/>
      <c r="B54" s="83"/>
      <c r="C54" s="78"/>
      <c r="D54" s="80"/>
      <c r="E54" s="81"/>
      <c r="F54" s="81"/>
      <c r="G54" s="81"/>
      <c r="H54" s="81"/>
    </row>
    <row r="55" spans="1:8" x14ac:dyDescent="0.2">
      <c r="A55" s="76"/>
      <c r="B55" s="82"/>
      <c r="C55" s="78"/>
      <c r="D55" s="80"/>
      <c r="E55" s="81"/>
      <c r="F55" s="81"/>
      <c r="G55" s="81"/>
      <c r="H55" s="81"/>
    </row>
    <row r="56" spans="1:8" x14ac:dyDescent="0.2">
      <c r="A56" s="76"/>
      <c r="B56" s="82"/>
      <c r="C56" s="78"/>
      <c r="D56" s="80"/>
      <c r="E56" s="81"/>
      <c r="F56" s="81"/>
      <c r="G56" s="81"/>
      <c r="H56" s="81"/>
    </row>
    <row r="57" spans="1:8" x14ac:dyDescent="0.2">
      <c r="A57" s="76"/>
      <c r="B57" s="83"/>
      <c r="C57" s="78"/>
      <c r="D57" s="80"/>
      <c r="E57" s="81"/>
      <c r="F57" s="81"/>
      <c r="G57" s="81"/>
      <c r="H57" s="81"/>
    </row>
    <row r="58" spans="1:8" x14ac:dyDescent="0.2">
      <c r="A58" s="10"/>
      <c r="C58" s="6"/>
      <c r="D58" s="6"/>
      <c r="E58" s="5"/>
      <c r="F58" s="5"/>
      <c r="G58" s="5"/>
      <c r="H58" s="5"/>
    </row>
    <row r="59" spans="1:8" x14ac:dyDescent="0.2">
      <c r="A59" s="10"/>
      <c r="C59" s="6"/>
      <c r="D59" s="6"/>
      <c r="E59" s="5"/>
      <c r="F59" s="5"/>
      <c r="G59" s="5"/>
      <c r="H59" s="5"/>
    </row>
    <row r="60" spans="1:8" ht="17" thickBot="1" x14ac:dyDescent="0.25">
      <c r="C60" s="2"/>
      <c r="D60" s="2"/>
      <c r="E60" s="5"/>
      <c r="F60" s="5"/>
      <c r="G60" s="5"/>
      <c r="H60" s="5"/>
    </row>
    <row r="61" spans="1:8" x14ac:dyDescent="0.2">
      <c r="A61" s="413" t="s">
        <v>126</v>
      </c>
      <c r="B61" s="414"/>
      <c r="C61" s="414"/>
      <c r="D61" s="414"/>
      <c r="E61" s="415"/>
      <c r="F61" s="81"/>
      <c r="G61" s="81"/>
      <c r="H61" s="81"/>
    </row>
    <row r="62" spans="1:8" x14ac:dyDescent="0.2">
      <c r="A62" s="213" t="s">
        <v>1</v>
      </c>
      <c r="B62" s="208" t="s">
        <v>614</v>
      </c>
      <c r="C62" s="209"/>
      <c r="D62" s="214" t="s">
        <v>617</v>
      </c>
      <c r="E62" s="215"/>
      <c r="F62" s="81"/>
      <c r="G62" s="81"/>
      <c r="H62" s="81"/>
    </row>
    <row r="63" spans="1:8" x14ac:dyDescent="0.2">
      <c r="A63" s="79" t="s">
        <v>68</v>
      </c>
      <c r="B63" s="14">
        <f>SUMIF($E$4:$E$39,A63,$C$4:$C$39)</f>
        <v>245</v>
      </c>
      <c r="C63" s="75">
        <f>B63/$C$1</f>
        <v>0.60794044665012403</v>
      </c>
      <c r="D63" s="225">
        <f>B63*$J$4/1000</f>
        <v>11.025</v>
      </c>
      <c r="E63" s="210">
        <f>D63/$E$1</f>
        <v>0.60794044665012414</v>
      </c>
      <c r="F63" s="81"/>
      <c r="G63" s="81"/>
      <c r="H63" s="81"/>
    </row>
    <row r="64" spans="1:8" x14ac:dyDescent="0.2">
      <c r="A64" s="79" t="s">
        <v>616</v>
      </c>
      <c r="B64" s="14">
        <f>SUMIF($E$4:$E$39,A64,$C$4:$C$39)</f>
        <v>129</v>
      </c>
      <c r="C64" s="75">
        <f>B64/$C$1</f>
        <v>0.32009925558312657</v>
      </c>
      <c r="D64" s="225">
        <f t="shared" ref="D64:D66" si="5">B64*$J$4/1000</f>
        <v>5.8049999999999997</v>
      </c>
      <c r="E64" s="210">
        <f t="shared" ref="E64:E66" si="6">D64/$E$1</f>
        <v>0.32009925558312657</v>
      </c>
      <c r="F64" s="81"/>
      <c r="G64" s="81"/>
      <c r="H64" s="81"/>
    </row>
    <row r="65" spans="1:8" x14ac:dyDescent="0.2">
      <c r="A65" s="79" t="s">
        <v>385</v>
      </c>
      <c r="B65" s="14">
        <f>SUMIF($E$4:$E$39,A65,$C$4:$C$39)</f>
        <v>27</v>
      </c>
      <c r="C65" s="75">
        <f t="shared" ref="C65:C66" si="7">B65/$C$1</f>
        <v>6.699751861042183E-2</v>
      </c>
      <c r="D65" s="225">
        <f t="shared" si="5"/>
        <v>1.2150000000000001</v>
      </c>
      <c r="E65" s="210">
        <f t="shared" si="6"/>
        <v>6.6997518610421844E-2</v>
      </c>
      <c r="F65" s="81"/>
      <c r="G65" s="81"/>
      <c r="H65" s="81"/>
    </row>
    <row r="66" spans="1:8" ht="17" thickBot="1" x14ac:dyDescent="0.25">
      <c r="A66" s="84" t="s">
        <v>656</v>
      </c>
      <c r="B66" s="31">
        <f>SUMIF($E$4:$E$39,A66,$C$4:$C$39)</f>
        <v>2</v>
      </c>
      <c r="C66" s="85">
        <f t="shared" si="7"/>
        <v>4.9627791563275434E-3</v>
      </c>
      <c r="D66" s="224">
        <f t="shared" si="5"/>
        <v>0.09</v>
      </c>
      <c r="E66" s="212">
        <f t="shared" si="6"/>
        <v>4.9627791563275434E-3</v>
      </c>
      <c r="F66" s="81"/>
      <c r="G66" s="81"/>
      <c r="H66" s="81"/>
    </row>
    <row r="67" spans="1:8" x14ac:dyDescent="0.2">
      <c r="A67" s="76"/>
      <c r="B67" s="77">
        <f>SUM(B63:B66)-$C$1</f>
        <v>0</v>
      </c>
      <c r="C67" s="78"/>
      <c r="D67" s="226">
        <f>SUM(D63:D66)-$E1</f>
        <v>0</v>
      </c>
      <c r="E67" s="81"/>
      <c r="F67" s="81"/>
      <c r="G67" s="81"/>
      <c r="H67" s="81"/>
    </row>
    <row r="68" spans="1:8" x14ac:dyDescent="0.2">
      <c r="A68" s="76"/>
      <c r="B68" s="82"/>
      <c r="C68" s="78"/>
      <c r="D68" s="80"/>
      <c r="E68" s="81"/>
      <c r="F68" s="81"/>
      <c r="G68" s="81"/>
      <c r="H68" s="81"/>
    </row>
    <row r="69" spans="1:8" x14ac:dyDescent="0.2">
      <c r="A69" s="76"/>
      <c r="B69" s="82"/>
      <c r="C69" s="78"/>
      <c r="D69" s="80"/>
      <c r="E69" s="81"/>
      <c r="F69" s="81"/>
      <c r="G69" s="81"/>
      <c r="H69" s="81"/>
    </row>
    <row r="70" spans="1:8" x14ac:dyDescent="0.2">
      <c r="A70" s="76"/>
      <c r="B70" s="82"/>
      <c r="C70" s="78"/>
      <c r="D70" s="80"/>
      <c r="E70" s="81"/>
      <c r="F70" s="81"/>
      <c r="G70" s="81"/>
      <c r="H70" s="81"/>
    </row>
    <row r="71" spans="1:8" x14ac:dyDescent="0.2">
      <c r="A71" s="76"/>
      <c r="B71" s="82"/>
      <c r="C71" s="78"/>
      <c r="D71" s="80"/>
      <c r="E71" s="81"/>
      <c r="F71" s="81"/>
      <c r="G71" s="81"/>
      <c r="H71" s="81"/>
    </row>
    <row r="72" spans="1:8" x14ac:dyDescent="0.2">
      <c r="A72" s="76"/>
      <c r="B72" s="82"/>
      <c r="C72" s="78"/>
      <c r="D72" s="80"/>
      <c r="E72" s="81"/>
      <c r="F72" s="81"/>
      <c r="G72" s="81"/>
      <c r="H72" s="81"/>
    </row>
    <row r="73" spans="1:8" x14ac:dyDescent="0.2">
      <c r="A73" s="76"/>
      <c r="B73" s="82"/>
      <c r="C73" s="78"/>
      <c r="D73" s="80"/>
      <c r="E73" s="81"/>
      <c r="F73" s="81"/>
      <c r="G73" s="81"/>
      <c r="H73" s="81"/>
    </row>
    <row r="74" spans="1:8" x14ac:dyDescent="0.2">
      <c r="A74" s="76"/>
      <c r="B74" s="82"/>
      <c r="C74" s="78"/>
      <c r="D74" s="80"/>
      <c r="E74" s="81"/>
      <c r="F74" s="81"/>
      <c r="G74" s="81"/>
      <c r="H74" s="81"/>
    </row>
    <row r="75" spans="1:8" x14ac:dyDescent="0.2">
      <c r="A75" s="76"/>
      <c r="B75" s="82"/>
      <c r="C75" s="78"/>
      <c r="D75" s="80"/>
      <c r="E75" s="81"/>
      <c r="F75" s="81"/>
      <c r="G75" s="81"/>
      <c r="H75" s="81"/>
    </row>
    <row r="76" spans="1:8" x14ac:dyDescent="0.2">
      <c r="A76" s="216"/>
      <c r="B76" s="83"/>
      <c r="C76" s="82"/>
      <c r="D76" s="80"/>
      <c r="E76" s="81"/>
      <c r="F76" s="81"/>
      <c r="G76" s="81"/>
      <c r="H76" s="81"/>
    </row>
    <row r="77" spans="1:8" x14ac:dyDescent="0.2">
      <c r="A77" s="216"/>
      <c r="B77" s="76"/>
      <c r="C77" s="82"/>
      <c r="D77" s="80"/>
      <c r="E77" s="81"/>
      <c r="F77" s="81"/>
      <c r="G77" s="81"/>
      <c r="H77" s="81"/>
    </row>
    <row r="78" spans="1:8" x14ac:dyDescent="0.2">
      <c r="A78" s="216"/>
      <c r="B78" s="76"/>
      <c r="C78" s="82"/>
      <c r="D78" s="80"/>
      <c r="E78" s="81"/>
      <c r="F78" s="81"/>
      <c r="G78" s="81"/>
      <c r="H78" s="81"/>
    </row>
    <row r="79" spans="1:8" x14ac:dyDescent="0.2">
      <c r="A79" s="9"/>
      <c r="B79" s="11"/>
      <c r="C79" s="1"/>
      <c r="D79" s="6"/>
      <c r="E79" s="5"/>
      <c r="F79" s="5"/>
      <c r="G79" s="5"/>
      <c r="H79" s="5"/>
    </row>
    <row r="80" spans="1:8" x14ac:dyDescent="0.2">
      <c r="A80" s="9"/>
      <c r="B80" s="11"/>
      <c r="C80" s="1"/>
      <c r="D80" s="6"/>
      <c r="E80" s="5"/>
      <c r="F80" s="5"/>
      <c r="G80" s="5"/>
      <c r="H80" s="5"/>
    </row>
    <row r="81" spans="1:8" ht="17" thickBot="1" x14ac:dyDescent="0.25">
      <c r="A81" s="9"/>
      <c r="B81" s="11"/>
      <c r="C81" s="1"/>
      <c r="D81" s="6"/>
      <c r="E81" s="5"/>
      <c r="F81" s="5"/>
      <c r="G81" s="5"/>
      <c r="H81" s="5"/>
    </row>
    <row r="82" spans="1:8" x14ac:dyDescent="0.2">
      <c r="A82" s="413" t="s">
        <v>670</v>
      </c>
      <c r="B82" s="414"/>
      <c r="C82" s="414"/>
      <c r="D82" s="414"/>
      <c r="E82" s="415"/>
      <c r="F82" s="81"/>
      <c r="G82" s="81"/>
      <c r="H82" s="81"/>
    </row>
    <row r="83" spans="1:8" x14ac:dyDescent="0.2">
      <c r="A83" s="213" t="s">
        <v>1</v>
      </c>
      <c r="B83" s="208" t="s">
        <v>614</v>
      </c>
      <c r="C83" s="209"/>
      <c r="D83" s="214" t="s">
        <v>617</v>
      </c>
      <c r="E83" s="215"/>
      <c r="F83" s="81"/>
      <c r="G83" s="81"/>
      <c r="H83" s="81"/>
    </row>
    <row r="84" spans="1:8" x14ac:dyDescent="0.2">
      <c r="A84" s="79" t="s">
        <v>6</v>
      </c>
      <c r="B84" s="14">
        <f>SUMIF($G$4:$G$39,A84,$C$4:$C$39)</f>
        <v>7</v>
      </c>
      <c r="C84" s="75">
        <f>B84/$C$1</f>
        <v>1.7369727047146403E-2</v>
      </c>
      <c r="D84" s="225">
        <f>B84*45/1000</f>
        <v>0.315</v>
      </c>
      <c r="E84" s="210">
        <f>D84/$E$1</f>
        <v>1.7369727047146403E-2</v>
      </c>
      <c r="F84" s="81"/>
      <c r="G84" s="81"/>
      <c r="H84" s="81"/>
    </row>
    <row r="85" spans="1:8" ht="17" thickBot="1" x14ac:dyDescent="0.25">
      <c r="A85" s="84" t="s">
        <v>7</v>
      </c>
      <c r="B85" s="31">
        <f>SUMIF($G$4:$G$39,A85,$C$4:$C$39)</f>
        <v>396</v>
      </c>
      <c r="C85" s="85">
        <f>B85/$C$1</f>
        <v>0.98263027295285355</v>
      </c>
      <c r="D85" s="224">
        <f>B85*45/1000</f>
        <v>17.82</v>
      </c>
      <c r="E85" s="212">
        <f>D85/$E$1</f>
        <v>0.98263027295285377</v>
      </c>
      <c r="F85" s="81"/>
      <c r="G85" s="81"/>
      <c r="H85" s="81"/>
    </row>
    <row r="86" spans="1:8" x14ac:dyDescent="0.2">
      <c r="A86" s="76"/>
      <c r="B86" s="262">
        <f>SUM(B84:B85)-$C$1</f>
        <v>0</v>
      </c>
      <c r="C86" s="78"/>
      <c r="D86" s="262">
        <f>SUM(D84:D85)-$E$1</f>
        <v>0</v>
      </c>
      <c r="E86" s="81"/>
      <c r="F86" s="81"/>
      <c r="G86" s="81"/>
      <c r="H86" s="81"/>
    </row>
    <row r="87" spans="1:8" x14ac:dyDescent="0.2">
      <c r="A87" s="82"/>
      <c r="B87" s="82"/>
      <c r="C87" s="80"/>
      <c r="D87" s="80"/>
      <c r="E87" s="81"/>
      <c r="F87" s="81"/>
      <c r="G87" s="81"/>
      <c r="H87" s="81"/>
    </row>
    <row r="88" spans="1:8" x14ac:dyDescent="0.2">
      <c r="A88" s="82"/>
      <c r="B88" s="82"/>
      <c r="C88" s="80"/>
      <c r="D88" s="80"/>
      <c r="E88" s="81"/>
      <c r="F88" s="81"/>
      <c r="G88" s="81"/>
      <c r="H88" s="81"/>
    </row>
    <row r="89" spans="1:8" x14ac:dyDescent="0.2">
      <c r="A89" s="82"/>
      <c r="B89" s="82"/>
      <c r="C89" s="80"/>
      <c r="D89" s="80"/>
      <c r="E89" s="81"/>
      <c r="F89" s="81"/>
      <c r="G89" s="81"/>
      <c r="H89" s="81"/>
    </row>
    <row r="90" spans="1:8" x14ac:dyDescent="0.2">
      <c r="A90" s="82"/>
      <c r="B90" s="82"/>
      <c r="C90" s="80"/>
      <c r="D90" s="80"/>
      <c r="E90" s="81"/>
      <c r="F90" s="81"/>
      <c r="G90" s="81"/>
      <c r="H90" s="81"/>
    </row>
    <row r="91" spans="1:8" x14ac:dyDescent="0.2">
      <c r="A91" s="82"/>
      <c r="B91" s="82"/>
      <c r="C91" s="80"/>
      <c r="D91" s="80"/>
      <c r="E91" s="81"/>
      <c r="F91" s="81"/>
      <c r="G91" s="81"/>
      <c r="H91" s="81"/>
    </row>
    <row r="92" spans="1:8" x14ac:dyDescent="0.2">
      <c r="A92" s="82"/>
      <c r="B92" s="82"/>
      <c r="C92" s="80"/>
      <c r="D92" s="80"/>
      <c r="E92" s="81"/>
      <c r="F92" s="81"/>
      <c r="G92" s="81"/>
      <c r="H92" s="81"/>
    </row>
    <row r="93" spans="1:8" x14ac:dyDescent="0.2">
      <c r="A93" s="82"/>
      <c r="B93" s="82"/>
      <c r="C93" s="80"/>
      <c r="D93" s="80"/>
      <c r="E93" s="81"/>
      <c r="F93" s="81"/>
      <c r="G93" s="81"/>
      <c r="H93" s="81"/>
    </row>
    <row r="94" spans="1:8" x14ac:dyDescent="0.2">
      <c r="A94" s="82"/>
      <c r="B94" s="82"/>
      <c r="C94" s="80"/>
      <c r="D94" s="80"/>
      <c r="E94" s="81"/>
      <c r="F94" s="81"/>
      <c r="G94" s="81"/>
      <c r="H94" s="81"/>
    </row>
    <row r="95" spans="1:8" x14ac:dyDescent="0.2">
      <c r="A95" s="82"/>
      <c r="B95" s="82"/>
      <c r="C95" s="80"/>
      <c r="D95" s="80"/>
      <c r="E95" s="81"/>
      <c r="F95" s="81"/>
      <c r="G95" s="81"/>
      <c r="H95" s="81"/>
    </row>
    <row r="96" spans="1:8" x14ac:dyDescent="0.2">
      <c r="A96" s="82"/>
      <c r="B96" s="82"/>
      <c r="C96" s="80"/>
      <c r="D96" s="80"/>
      <c r="E96" s="81"/>
      <c r="F96" s="81"/>
      <c r="G96" s="81"/>
      <c r="H96" s="81"/>
    </row>
    <row r="97" spans="1:8" x14ac:dyDescent="0.2">
      <c r="A97" s="82"/>
      <c r="B97" s="82"/>
      <c r="C97" s="80"/>
      <c r="D97" s="80"/>
      <c r="E97" s="81"/>
      <c r="F97" s="81"/>
      <c r="G97" s="81"/>
      <c r="H97" s="81"/>
    </row>
    <row r="98" spans="1:8" x14ac:dyDescent="0.2">
      <c r="A98" s="82"/>
      <c r="B98" s="82"/>
      <c r="C98" s="80"/>
      <c r="D98" s="80"/>
      <c r="E98" s="81"/>
      <c r="F98" s="81"/>
      <c r="G98" s="81"/>
      <c r="H98" s="81"/>
    </row>
    <row r="99" spans="1:8" x14ac:dyDescent="0.2">
      <c r="A99" s="1"/>
      <c r="B99" s="1"/>
      <c r="C99" s="6"/>
      <c r="D99" s="6"/>
      <c r="E99" s="5"/>
      <c r="F99" s="5"/>
      <c r="G99" s="5"/>
      <c r="H99" s="5"/>
    </row>
    <row r="100" spans="1:8" ht="17" thickBot="1" x14ac:dyDescent="0.25">
      <c r="A100" s="1"/>
      <c r="B100" s="1"/>
      <c r="C100" s="6"/>
      <c r="D100" s="6"/>
      <c r="E100" s="5"/>
      <c r="F100" s="5"/>
      <c r="G100" s="5"/>
      <c r="H100" s="5"/>
    </row>
    <row r="101" spans="1:8" x14ac:dyDescent="0.2">
      <c r="A101" s="416" t="s">
        <v>619</v>
      </c>
      <c r="B101" s="417"/>
      <c r="C101" s="417"/>
      <c r="D101" s="417"/>
      <c r="E101" s="418"/>
      <c r="F101" s="81"/>
      <c r="G101" s="81"/>
      <c r="H101" s="81"/>
    </row>
    <row r="102" spans="1:8" x14ac:dyDescent="0.2">
      <c r="A102" s="213" t="s">
        <v>622</v>
      </c>
      <c r="B102" s="208" t="s">
        <v>614</v>
      </c>
      <c r="C102" s="209"/>
      <c r="D102" s="214" t="s">
        <v>617</v>
      </c>
      <c r="E102" s="215"/>
      <c r="F102" s="81"/>
      <c r="G102" s="81"/>
      <c r="H102" s="81"/>
    </row>
    <row r="103" spans="1:8" ht="17" thickBot="1" x14ac:dyDescent="0.25">
      <c r="A103" s="84" t="str">
        <f>H13</f>
        <v>Landfill</v>
      </c>
      <c r="B103" s="31">
        <f>SUMIF($H$4:$H$39,A103,$C$4:$C$39)</f>
        <v>403</v>
      </c>
      <c r="C103" s="85">
        <f>B103/$C$1</f>
        <v>1</v>
      </c>
      <c r="D103" s="223">
        <f>SUMIF($H$4:$H$63,A103,$I$4:$I$63)</f>
        <v>18.134999999999994</v>
      </c>
      <c r="E103" s="212">
        <f>D103/$E$1</f>
        <v>0.99999999999999978</v>
      </c>
      <c r="F103" s="81"/>
      <c r="G103" s="81"/>
      <c r="H103" s="81"/>
    </row>
    <row r="104" spans="1:8" x14ac:dyDescent="0.2">
      <c r="A104" s="76"/>
      <c r="B104" s="262">
        <f>B103-C1</f>
        <v>0</v>
      </c>
      <c r="C104" s="82"/>
      <c r="D104" s="262">
        <f>D103-E1</f>
        <v>0</v>
      </c>
      <c r="E104" s="81"/>
      <c r="F104" s="81"/>
      <c r="G104" s="81"/>
      <c r="H104" s="81"/>
    </row>
    <row r="105" spans="1:8" x14ac:dyDescent="0.2">
      <c r="A105" s="82"/>
      <c r="B105" s="82"/>
      <c r="C105" s="80"/>
      <c r="D105" s="80"/>
      <c r="E105" s="81"/>
      <c r="F105" s="81"/>
      <c r="G105" s="81"/>
      <c r="H105" s="81"/>
    </row>
    <row r="106" spans="1:8" x14ac:dyDescent="0.2">
      <c r="A106" s="82"/>
      <c r="B106" s="82"/>
      <c r="C106" s="80"/>
      <c r="D106" s="80"/>
      <c r="E106" s="81"/>
      <c r="F106" s="81"/>
      <c r="G106" s="81"/>
      <c r="H106" s="81"/>
    </row>
    <row r="107" spans="1:8" x14ac:dyDescent="0.2">
      <c r="A107" s="82"/>
      <c r="B107" s="82"/>
      <c r="C107" s="80"/>
      <c r="D107" s="80"/>
      <c r="E107" s="81"/>
      <c r="F107" s="81"/>
      <c r="G107" s="81"/>
      <c r="H107" s="81"/>
    </row>
    <row r="108" spans="1:8" x14ac:dyDescent="0.2">
      <c r="A108" s="82"/>
      <c r="B108" s="82"/>
      <c r="C108" s="80"/>
      <c r="D108" s="80"/>
      <c r="E108" s="81"/>
      <c r="F108" s="81"/>
      <c r="G108" s="81"/>
      <c r="H108" s="81"/>
    </row>
    <row r="109" spans="1:8" x14ac:dyDescent="0.2">
      <c r="A109" s="82"/>
      <c r="B109" s="82"/>
      <c r="C109" s="80"/>
      <c r="D109" s="80"/>
      <c r="E109" s="81"/>
      <c r="F109" s="81"/>
      <c r="G109" s="81"/>
      <c r="H109" s="81"/>
    </row>
    <row r="110" spans="1:8" x14ac:dyDescent="0.2">
      <c r="A110" s="82"/>
      <c r="B110" s="82"/>
      <c r="C110" s="80"/>
      <c r="D110" s="80"/>
      <c r="E110" s="81"/>
      <c r="F110" s="81"/>
      <c r="G110" s="81"/>
      <c r="H110" s="81"/>
    </row>
    <row r="111" spans="1:8" x14ac:dyDescent="0.2">
      <c r="A111" s="82"/>
      <c r="B111" s="82"/>
      <c r="C111" s="80"/>
      <c r="D111" s="80"/>
      <c r="E111" s="81"/>
      <c r="F111" s="81"/>
      <c r="G111" s="81"/>
      <c r="H111" s="81"/>
    </row>
    <row r="112" spans="1:8" x14ac:dyDescent="0.2">
      <c r="A112" s="82"/>
      <c r="B112" s="82"/>
      <c r="C112" s="80"/>
      <c r="D112" s="80"/>
      <c r="E112" s="81"/>
      <c r="F112" s="81"/>
      <c r="G112" s="81"/>
      <c r="H112" s="81"/>
    </row>
    <row r="113" spans="1:8" x14ac:dyDescent="0.2">
      <c r="A113" s="82"/>
      <c r="B113" s="82"/>
      <c r="C113" s="80"/>
      <c r="D113" s="80"/>
      <c r="E113" s="81"/>
      <c r="F113" s="81"/>
      <c r="G113" s="81"/>
      <c r="H113" s="81"/>
    </row>
    <row r="114" spans="1:8" x14ac:dyDescent="0.2">
      <c r="A114" s="82"/>
      <c r="B114" s="82"/>
      <c r="C114" s="80"/>
      <c r="D114" s="80"/>
      <c r="E114" s="81"/>
      <c r="F114" s="81"/>
      <c r="G114" s="81"/>
      <c r="H114" s="81"/>
    </row>
    <row r="115" spans="1:8" x14ac:dyDescent="0.2">
      <c r="A115" s="82"/>
      <c r="B115" s="82"/>
      <c r="C115" s="80"/>
      <c r="D115" s="80"/>
      <c r="E115" s="81"/>
      <c r="F115" s="81"/>
      <c r="G115" s="81"/>
      <c r="H115" s="81"/>
    </row>
    <row r="116" spans="1:8" x14ac:dyDescent="0.2">
      <c r="A116" s="1"/>
      <c r="B116" s="1"/>
      <c r="C116" s="6"/>
      <c r="D116" s="6"/>
      <c r="E116" s="5"/>
      <c r="F116" s="5"/>
      <c r="G116" s="5"/>
      <c r="H116" s="5"/>
    </row>
    <row r="117" spans="1:8" x14ac:dyDescent="0.2">
      <c r="A117" s="1"/>
      <c r="B117" s="1"/>
      <c r="C117" s="6"/>
      <c r="D117" s="6"/>
      <c r="E117" s="5"/>
      <c r="F117" s="5"/>
      <c r="G117" s="5"/>
      <c r="H117" s="5"/>
    </row>
    <row r="118" spans="1:8" x14ac:dyDescent="0.2">
      <c r="C118" s="2"/>
      <c r="D118" s="2"/>
      <c r="E118" s="5"/>
      <c r="F118" s="5"/>
      <c r="G118" s="5"/>
      <c r="H118" s="5"/>
    </row>
  </sheetData>
  <mergeCells count="7">
    <mergeCell ref="A82:E82"/>
    <mergeCell ref="A101:E101"/>
    <mergeCell ref="C3:D3"/>
    <mergeCell ref="C1:D1"/>
    <mergeCell ref="J4:J39"/>
    <mergeCell ref="A42:E42"/>
    <mergeCell ref="A61:E6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3BFB-3A93-F740-92B6-48DF1685CEF1}">
  <sheetPr>
    <tabColor theme="1"/>
  </sheetPr>
  <dimension ref="A1:K102"/>
  <sheetViews>
    <sheetView workbookViewId="0"/>
  </sheetViews>
  <sheetFormatPr baseColWidth="10" defaultColWidth="10.6640625" defaultRowHeight="16" x14ac:dyDescent="0.2"/>
  <cols>
    <col min="1" max="1" width="28.6640625" style="1" customWidth="1"/>
    <col min="2" max="2" width="33.1640625" style="1" customWidth="1"/>
    <col min="3" max="3" width="7.1640625" customWidth="1"/>
    <col min="4" max="4" width="6.5" customWidth="1"/>
    <col min="5" max="6" width="21" customWidth="1"/>
    <col min="7" max="7" width="11.33203125" customWidth="1"/>
    <col min="8" max="8" width="40" customWidth="1"/>
    <col min="9" max="9" width="11.83203125" style="157" customWidth="1"/>
    <col min="10" max="10" width="11.83203125" style="158" customWidth="1"/>
    <col min="11" max="11" width="10.83203125" style="143"/>
  </cols>
  <sheetData>
    <row r="1" spans="1:11" s="4" customFormat="1" ht="34" x14ac:dyDescent="0.4">
      <c r="A1" s="3" t="s">
        <v>696</v>
      </c>
      <c r="B1" s="152"/>
      <c r="C1" s="422">
        <f>'Alu cans'!C1+'Steel cans'!C1</f>
        <v>1879</v>
      </c>
      <c r="D1" s="422"/>
      <c r="E1" s="108">
        <f>'Alu cans'!E1+'Steel cans'!E1</f>
        <v>40.274999999999999</v>
      </c>
      <c r="F1" s="107" t="s">
        <v>236</v>
      </c>
      <c r="I1" s="155"/>
      <c r="J1" s="156"/>
      <c r="K1" s="142"/>
    </row>
    <row r="2" spans="1:11" x14ac:dyDescent="0.2">
      <c r="D2" s="8"/>
    </row>
    <row r="3" spans="1:11" s="83" customFormat="1" x14ac:dyDescent="0.2">
      <c r="A3" s="82"/>
      <c r="B3" s="82"/>
      <c r="C3" s="81"/>
      <c r="D3" s="179"/>
      <c r="E3" s="81"/>
      <c r="F3" s="81"/>
      <c r="G3" s="81"/>
      <c r="H3" s="81"/>
      <c r="I3" s="180"/>
      <c r="J3" s="110"/>
      <c r="K3" s="181">
        <f t="shared" ref="K3:K4" si="0">J3*C3/1000</f>
        <v>0</v>
      </c>
    </row>
    <row r="4" spans="1:11" s="83" customFormat="1" ht="17" thickBot="1" x14ac:dyDescent="0.25">
      <c r="A4" s="82"/>
      <c r="B4" s="82"/>
      <c r="C4" s="81"/>
      <c r="D4" s="179"/>
      <c r="E4" s="81"/>
      <c r="F4" s="81"/>
      <c r="G4" s="81"/>
      <c r="H4" s="81"/>
      <c r="I4" s="180"/>
      <c r="J4" s="110"/>
      <c r="K4" s="181">
        <f t="shared" si="0"/>
        <v>0</v>
      </c>
    </row>
    <row r="5" spans="1:11" x14ac:dyDescent="0.2">
      <c r="A5" s="413" t="s">
        <v>623</v>
      </c>
      <c r="B5" s="414"/>
      <c r="C5" s="414"/>
      <c r="D5" s="414"/>
      <c r="E5" s="415"/>
      <c r="F5" s="81"/>
      <c r="G5" s="81"/>
      <c r="H5" s="81"/>
      <c r="I5"/>
      <c r="J5"/>
      <c r="K5"/>
    </row>
    <row r="6" spans="1:11" x14ac:dyDescent="0.2">
      <c r="A6" s="213" t="s">
        <v>613</v>
      </c>
      <c r="B6" s="208" t="s">
        <v>614</v>
      </c>
      <c r="C6" s="288"/>
      <c r="D6" s="214" t="s">
        <v>617</v>
      </c>
      <c r="E6" s="215"/>
      <c r="F6" s="81"/>
      <c r="G6" s="81"/>
      <c r="H6" s="81"/>
      <c r="I6"/>
      <c r="J6"/>
      <c r="K6"/>
    </row>
    <row r="7" spans="1:11" x14ac:dyDescent="0.2">
      <c r="A7" s="79" t="str">
        <f>'Alu cans'!A30</f>
        <v>APU</v>
      </c>
      <c r="B7" s="14">
        <f>'Alu cans'!B30</f>
        <v>1286</v>
      </c>
      <c r="C7" s="227">
        <f>B7/$C$1</f>
        <v>0.68440659925492286</v>
      </c>
      <c r="D7" s="222">
        <f>'Alu cans'!D30</f>
        <v>19.29</v>
      </c>
      <c r="E7" s="210">
        <f>D7/E$1</f>
        <v>0.47895716945996275</v>
      </c>
      <c r="F7" s="81"/>
      <c r="G7" s="81"/>
      <c r="H7" s="81"/>
      <c r="I7"/>
      <c r="J7"/>
      <c r="K7"/>
    </row>
    <row r="8" spans="1:11" x14ac:dyDescent="0.2">
      <c r="A8" s="79" t="str">
        <f>'Alu cans'!A31</f>
        <v>MCS</v>
      </c>
      <c r="B8" s="14">
        <f>'Alu cans'!B31</f>
        <v>40</v>
      </c>
      <c r="C8" s="227">
        <f t="shared" ref="C8:C9" si="1">B8/$C$1</f>
        <v>2.1287919105907396E-2</v>
      </c>
      <c r="D8" s="222">
        <f>'Alu cans'!D31</f>
        <v>0.6</v>
      </c>
      <c r="E8" s="210">
        <f t="shared" ref="E8:E11" si="2">D8/E$1</f>
        <v>1.4897579143389199E-2</v>
      </c>
      <c r="F8" s="81"/>
      <c r="G8" s="81"/>
      <c r="H8" s="81"/>
      <c r="I8"/>
      <c r="J8"/>
      <c r="K8"/>
    </row>
    <row r="9" spans="1:11" x14ac:dyDescent="0.2">
      <c r="A9" s="79" t="str">
        <f>'Alu cans'!A32</f>
        <v>Nomin Foods LLC</v>
      </c>
      <c r="B9" s="14">
        <f>'Alu cans'!B32</f>
        <v>29</v>
      </c>
      <c r="C9" s="227">
        <f t="shared" si="1"/>
        <v>1.5433741351782864E-2</v>
      </c>
      <c r="D9" s="222">
        <f>'Alu cans'!D32</f>
        <v>0.435</v>
      </c>
      <c r="E9" s="210">
        <f t="shared" si="2"/>
        <v>1.080074487895717E-2</v>
      </c>
      <c r="F9" s="81"/>
      <c r="G9" s="81"/>
      <c r="H9" s="81"/>
      <c r="I9"/>
      <c r="J9"/>
      <c r="K9"/>
    </row>
    <row r="10" spans="1:11" x14ac:dyDescent="0.2">
      <c r="A10" s="79" t="str">
        <f>'Steel cans'!A44</f>
        <v>Cosmo Trade Co., Ltd</v>
      </c>
      <c r="B10" s="14">
        <f>'Steel cans'!B44</f>
        <v>170</v>
      </c>
      <c r="C10" s="227">
        <f>B10/$C$1</f>
        <v>9.0473656200106445E-2</v>
      </c>
      <c r="D10" s="222">
        <f>'Steel cans'!D44</f>
        <v>7.65</v>
      </c>
      <c r="E10" s="210">
        <f t="shared" si="2"/>
        <v>0.18994413407821231</v>
      </c>
      <c r="F10" s="81"/>
      <c r="G10" s="81"/>
      <c r="H10" s="81"/>
      <c r="I10"/>
      <c r="J10"/>
      <c r="K10"/>
    </row>
    <row r="11" spans="1:11" ht="17" thickBot="1" x14ac:dyDescent="0.25">
      <c r="A11" s="84" t="str">
        <f>'Glass jars'!A66</f>
        <v>Others / unidentified</v>
      </c>
      <c r="B11" s="31">
        <f>'Alu cans'!B33+SUM('Steel cans'!B45:B48)</f>
        <v>354</v>
      </c>
      <c r="C11" s="229">
        <f>B11/$C$1</f>
        <v>0.18839808408728048</v>
      </c>
      <c r="D11" s="223">
        <f>'Alu cans'!D33+SUM('Steel cans'!D45:D48)</f>
        <v>12.299999999999999</v>
      </c>
      <c r="E11" s="212">
        <f t="shared" si="2"/>
        <v>0.3054003724394786</v>
      </c>
      <c r="F11" s="81"/>
      <c r="G11" s="81"/>
      <c r="H11" s="81"/>
      <c r="I11"/>
      <c r="J11"/>
      <c r="K11"/>
    </row>
    <row r="12" spans="1:11" x14ac:dyDescent="0.2">
      <c r="A12" s="82"/>
      <c r="B12" s="77">
        <f ca="1">SUM(B7:B23)-$C$1</f>
        <v>0</v>
      </c>
      <c r="C12" s="78"/>
      <c r="D12" s="226">
        <f>SUM(D7:D11)-E1</f>
        <v>0</v>
      </c>
      <c r="E12" s="78"/>
      <c r="F12" s="81"/>
      <c r="G12" s="81"/>
      <c r="H12" s="81"/>
      <c r="I12"/>
      <c r="J12"/>
      <c r="K12"/>
    </row>
    <row r="13" spans="1:11" x14ac:dyDescent="0.2">
      <c r="A13" s="76"/>
      <c r="B13" s="82"/>
      <c r="C13" s="78"/>
      <c r="D13" s="228"/>
      <c r="E13" s="78"/>
      <c r="F13" s="81"/>
      <c r="G13" s="81"/>
      <c r="H13" s="81"/>
      <c r="I13"/>
      <c r="J13"/>
      <c r="K13"/>
    </row>
    <row r="14" spans="1:11" x14ac:dyDescent="0.2">
      <c r="A14" s="76"/>
      <c r="B14" s="82"/>
      <c r="C14" s="78"/>
      <c r="D14" s="228"/>
      <c r="E14" s="78"/>
      <c r="F14" s="81"/>
      <c r="G14" s="81"/>
      <c r="H14" s="81"/>
      <c r="I14"/>
      <c r="J14"/>
      <c r="K14"/>
    </row>
    <row r="15" spans="1:11" x14ac:dyDescent="0.2">
      <c r="A15" s="76"/>
      <c r="B15" s="82"/>
      <c r="C15" s="78"/>
      <c r="D15" s="228"/>
      <c r="E15" s="78"/>
      <c r="F15" s="81"/>
      <c r="G15" s="81"/>
      <c r="H15" s="81"/>
      <c r="I15"/>
      <c r="J15"/>
      <c r="K15"/>
    </row>
    <row r="16" spans="1:11" x14ac:dyDescent="0.2">
      <c r="A16" s="76"/>
      <c r="B16" s="82"/>
      <c r="C16" s="78"/>
      <c r="D16" s="228"/>
      <c r="E16" s="78"/>
      <c r="F16" s="81"/>
      <c r="G16" s="81"/>
      <c r="H16" s="81"/>
      <c r="I16"/>
      <c r="J16"/>
      <c r="K16"/>
    </row>
    <row r="17" spans="1:11" x14ac:dyDescent="0.2">
      <c r="A17" s="76"/>
      <c r="B17" s="82"/>
      <c r="C17" s="78"/>
      <c r="D17" s="228"/>
      <c r="E17" s="78"/>
      <c r="F17" s="81"/>
      <c r="G17" s="81"/>
      <c r="H17" s="81"/>
      <c r="I17"/>
      <c r="J17"/>
      <c r="K17"/>
    </row>
    <row r="18" spans="1:11" x14ac:dyDescent="0.2">
      <c r="A18" s="76"/>
      <c r="B18" s="82"/>
      <c r="C18" s="78"/>
      <c r="D18" s="228"/>
      <c r="E18" s="78"/>
      <c r="F18" s="81"/>
      <c r="G18" s="81"/>
      <c r="H18" s="81"/>
      <c r="I18"/>
      <c r="J18"/>
      <c r="K18"/>
    </row>
    <row r="19" spans="1:11" x14ac:dyDescent="0.2">
      <c r="A19" s="76"/>
      <c r="B19" s="82"/>
      <c r="C19" s="78"/>
      <c r="D19" s="228"/>
      <c r="E19" s="78"/>
      <c r="F19" s="81"/>
      <c r="G19" s="81"/>
      <c r="H19" s="81"/>
      <c r="I19"/>
      <c r="J19"/>
      <c r="K19"/>
    </row>
    <row r="20" spans="1:11" x14ac:dyDescent="0.2">
      <c r="A20" s="76"/>
      <c r="B20" s="82"/>
      <c r="C20" s="78"/>
      <c r="D20" s="228"/>
      <c r="E20" s="78"/>
      <c r="F20" s="81"/>
      <c r="G20" s="81"/>
      <c r="H20" s="81"/>
      <c r="I20"/>
      <c r="J20"/>
      <c r="K20"/>
    </row>
    <row r="21" spans="1:11" x14ac:dyDescent="0.2">
      <c r="A21" s="76"/>
      <c r="B21" s="82"/>
      <c r="C21" s="78"/>
      <c r="D21" s="228"/>
      <c r="E21" s="78"/>
      <c r="F21" s="81"/>
      <c r="G21" s="81"/>
      <c r="H21" s="81"/>
      <c r="I21"/>
      <c r="J21"/>
      <c r="K21"/>
    </row>
    <row r="22" spans="1:11" x14ac:dyDescent="0.2">
      <c r="A22" s="76"/>
      <c r="B22" s="82"/>
      <c r="C22" s="78"/>
      <c r="D22" s="228"/>
      <c r="E22" s="78"/>
      <c r="F22" s="81"/>
      <c r="G22" s="81"/>
      <c r="H22" s="81"/>
      <c r="I22"/>
      <c r="J22"/>
      <c r="K22"/>
    </row>
    <row r="23" spans="1:11" x14ac:dyDescent="0.2">
      <c r="A23" s="76"/>
      <c r="B23" s="82"/>
      <c r="C23" s="78"/>
      <c r="D23" s="228"/>
      <c r="E23" s="78"/>
      <c r="F23" s="81"/>
      <c r="G23" s="81"/>
      <c r="H23" s="81"/>
      <c r="I23"/>
      <c r="J23"/>
      <c r="K23"/>
    </row>
    <row r="24" spans="1:11" x14ac:dyDescent="0.2">
      <c r="A24" s="82"/>
      <c r="B24" s="82"/>
      <c r="C24" s="83"/>
      <c r="D24" s="228"/>
      <c r="E24" s="78"/>
      <c r="F24" s="81"/>
      <c r="G24" s="81"/>
      <c r="H24" s="81"/>
      <c r="I24"/>
      <c r="J24"/>
      <c r="K24"/>
    </row>
    <row r="25" spans="1:11" x14ac:dyDescent="0.2">
      <c r="A25" s="76"/>
      <c r="B25" s="82"/>
      <c r="C25" s="78"/>
      <c r="D25" s="80"/>
      <c r="E25" s="81"/>
      <c r="F25" s="81"/>
      <c r="G25" s="81"/>
      <c r="H25" s="81"/>
      <c r="I25"/>
      <c r="J25"/>
      <c r="K25"/>
    </row>
    <row r="26" spans="1:11" ht="17" thickBot="1" x14ac:dyDescent="0.25">
      <c r="C26" s="6"/>
      <c r="D26" s="6"/>
      <c r="E26" s="5"/>
      <c r="F26" s="5"/>
      <c r="G26" s="5"/>
      <c r="H26" s="5"/>
      <c r="I26"/>
      <c r="J26"/>
      <c r="K26"/>
    </row>
    <row r="27" spans="1:11" x14ac:dyDescent="0.2">
      <c r="A27" s="416" t="s">
        <v>626</v>
      </c>
      <c r="B27" s="417"/>
      <c r="C27" s="417"/>
      <c r="D27" s="417"/>
      <c r="E27" s="418"/>
      <c r="F27" s="81"/>
      <c r="G27" s="81"/>
      <c r="H27" s="81"/>
      <c r="I27"/>
      <c r="J27"/>
      <c r="K27"/>
    </row>
    <row r="28" spans="1:11" x14ac:dyDescent="0.2">
      <c r="A28" s="213" t="s">
        <v>627</v>
      </c>
      <c r="B28" s="208" t="s">
        <v>614</v>
      </c>
      <c r="C28" s="288"/>
      <c r="D28" s="214" t="s">
        <v>617</v>
      </c>
      <c r="E28" s="215"/>
      <c r="F28" s="81"/>
      <c r="G28" s="81"/>
      <c r="H28" s="81"/>
      <c r="I28"/>
      <c r="J28"/>
      <c r="K28"/>
    </row>
    <row r="29" spans="1:11" x14ac:dyDescent="0.2">
      <c r="A29" s="79" t="s">
        <v>633</v>
      </c>
      <c r="B29" s="234">
        <f>'Alu cans'!C1</f>
        <v>1476</v>
      </c>
      <c r="C29" s="75">
        <f t="shared" ref="C29:C30" si="3">B29/$C$1</f>
        <v>0.78552421500798297</v>
      </c>
      <c r="D29" s="222">
        <f>'Alu cans'!E1</f>
        <v>22.14</v>
      </c>
      <c r="E29" s="210">
        <f>D29/E1</f>
        <v>0.54972067039106154</v>
      </c>
      <c r="F29" s="81"/>
      <c r="G29" s="81"/>
      <c r="H29" s="81"/>
      <c r="I29"/>
      <c r="J29"/>
      <c r="K29"/>
    </row>
    <row r="30" spans="1:11" ht="17" thickBot="1" x14ac:dyDescent="0.25">
      <c r="A30" s="84" t="s">
        <v>634</v>
      </c>
      <c r="B30" s="241">
        <f>'Steel cans'!C1</f>
        <v>403</v>
      </c>
      <c r="C30" s="85">
        <f t="shared" si="3"/>
        <v>0.21447578499201703</v>
      </c>
      <c r="D30" s="223">
        <f>'Steel cans'!E1</f>
        <v>18.134999999999998</v>
      </c>
      <c r="E30" s="212">
        <f>D30/E1</f>
        <v>0.45027932960893852</v>
      </c>
      <c r="F30" s="81"/>
      <c r="G30" s="81"/>
      <c r="H30" s="81"/>
      <c r="I30"/>
      <c r="J30"/>
      <c r="K30"/>
    </row>
    <row r="31" spans="1:11" x14ac:dyDescent="0.2">
      <c r="A31" s="76"/>
      <c r="B31" s="77">
        <f>SUM(B29:B30)-$C$1</f>
        <v>0</v>
      </c>
      <c r="C31" s="78"/>
      <c r="D31" s="226">
        <f>SUM(D29:D30)-E1</f>
        <v>0</v>
      </c>
      <c r="E31" s="81"/>
      <c r="F31" s="81"/>
      <c r="G31" s="81"/>
      <c r="H31" s="81"/>
      <c r="I31"/>
      <c r="J31"/>
      <c r="K31"/>
    </row>
    <row r="32" spans="1:11" x14ac:dyDescent="0.2">
      <c r="A32" s="76"/>
      <c r="B32" s="82"/>
      <c r="C32" s="78"/>
      <c r="D32" s="80"/>
      <c r="E32" s="81"/>
      <c r="F32" s="81"/>
      <c r="G32" s="81"/>
      <c r="H32" s="81"/>
      <c r="I32"/>
      <c r="J32"/>
      <c r="K32"/>
    </row>
    <row r="33" spans="1:11" x14ac:dyDescent="0.2">
      <c r="A33" s="76"/>
      <c r="B33" s="82"/>
      <c r="C33" s="78"/>
      <c r="D33" s="80"/>
      <c r="E33" s="81"/>
      <c r="F33" s="81"/>
      <c r="G33" s="81"/>
      <c r="H33" s="81"/>
      <c r="I33"/>
      <c r="J33"/>
      <c r="K33"/>
    </row>
    <row r="34" spans="1:11" x14ac:dyDescent="0.2">
      <c r="A34" s="76"/>
      <c r="B34" s="82"/>
      <c r="C34" s="78"/>
      <c r="D34" s="80"/>
      <c r="E34" s="81"/>
      <c r="F34" s="81"/>
      <c r="G34" s="81"/>
      <c r="H34" s="81"/>
      <c r="I34"/>
      <c r="J34"/>
      <c r="K34"/>
    </row>
    <row r="35" spans="1:11" x14ac:dyDescent="0.2">
      <c r="A35" s="76"/>
      <c r="B35" s="82"/>
      <c r="C35" s="78"/>
      <c r="D35" s="80"/>
      <c r="E35" s="81"/>
      <c r="F35" s="81"/>
      <c r="G35" s="81"/>
      <c r="H35" s="81"/>
      <c r="I35"/>
      <c r="J35"/>
      <c r="K35"/>
    </row>
    <row r="36" spans="1:11" x14ac:dyDescent="0.2">
      <c r="A36" s="76"/>
      <c r="B36" s="82"/>
      <c r="C36" s="78"/>
      <c r="D36" s="80"/>
      <c r="E36" s="81"/>
      <c r="F36" s="81"/>
      <c r="G36" s="81"/>
      <c r="H36" s="81"/>
      <c r="I36"/>
      <c r="J36"/>
      <c r="K36"/>
    </row>
    <row r="37" spans="1:11" x14ac:dyDescent="0.2">
      <c r="A37" s="76"/>
      <c r="B37" s="82"/>
      <c r="C37" s="78"/>
      <c r="D37" s="80"/>
      <c r="E37" s="81"/>
      <c r="F37" s="81"/>
      <c r="G37" s="81"/>
      <c r="H37" s="81"/>
      <c r="I37"/>
      <c r="J37"/>
      <c r="K37"/>
    </row>
    <row r="38" spans="1:11" x14ac:dyDescent="0.2">
      <c r="A38" s="76"/>
      <c r="B38" s="82"/>
      <c r="C38" s="78"/>
      <c r="D38" s="80"/>
      <c r="E38" s="81"/>
      <c r="F38" s="81"/>
      <c r="G38" s="81"/>
      <c r="H38" s="81"/>
      <c r="I38"/>
      <c r="J38"/>
      <c r="K38"/>
    </row>
    <row r="39" spans="1:11" x14ac:dyDescent="0.2">
      <c r="A39" s="76"/>
      <c r="B39" s="82"/>
      <c r="C39" s="78"/>
      <c r="D39" s="80"/>
      <c r="E39" s="81"/>
      <c r="F39" s="81"/>
      <c r="G39" s="81"/>
      <c r="H39" s="81"/>
      <c r="I39"/>
      <c r="J39"/>
      <c r="K39"/>
    </row>
    <row r="40" spans="1:11" x14ac:dyDescent="0.2">
      <c r="A40" s="76"/>
      <c r="B40" s="82"/>
      <c r="C40" s="78"/>
      <c r="D40" s="80"/>
      <c r="E40" s="81"/>
      <c r="F40" s="81"/>
      <c r="G40" s="81"/>
      <c r="H40" s="81"/>
      <c r="I40"/>
      <c r="J40"/>
      <c r="K40"/>
    </row>
    <row r="41" spans="1:11" x14ac:dyDescent="0.2">
      <c r="A41" s="76"/>
      <c r="B41" s="82"/>
      <c r="C41" s="78"/>
      <c r="D41" s="80"/>
      <c r="E41" s="81"/>
      <c r="F41" s="81"/>
      <c r="G41" s="81"/>
      <c r="H41" s="81"/>
      <c r="I41"/>
      <c r="J41"/>
      <c r="K41"/>
    </row>
    <row r="42" spans="1:11" x14ac:dyDescent="0.2">
      <c r="A42" s="216"/>
      <c r="C42" s="82"/>
      <c r="D42" s="80"/>
      <c r="E42" s="81"/>
      <c r="F42" s="81"/>
      <c r="G42" s="81"/>
      <c r="H42" s="81"/>
      <c r="I42"/>
      <c r="J42"/>
      <c r="K42"/>
    </row>
    <row r="43" spans="1:11" x14ac:dyDescent="0.2">
      <c r="A43" s="216"/>
      <c r="B43" s="76"/>
      <c r="C43" s="82"/>
      <c r="D43" s="80"/>
      <c r="E43" s="81"/>
      <c r="F43" s="81"/>
      <c r="G43" s="81"/>
      <c r="H43" s="81"/>
      <c r="I43"/>
      <c r="J43"/>
      <c r="K43"/>
    </row>
    <row r="44" spans="1:11" x14ac:dyDescent="0.2">
      <c r="A44" s="216"/>
      <c r="B44" s="76"/>
      <c r="C44" s="82"/>
      <c r="D44" s="80"/>
      <c r="E44" s="81"/>
      <c r="F44" s="81"/>
      <c r="G44" s="81"/>
      <c r="H44" s="81"/>
      <c r="I44"/>
      <c r="J44"/>
      <c r="K44"/>
    </row>
    <row r="45" spans="1:11" ht="17" thickBot="1" x14ac:dyDescent="0.25">
      <c r="A45" s="216"/>
      <c r="B45" s="76"/>
      <c r="C45" s="82"/>
      <c r="D45" s="80"/>
      <c r="E45" s="81"/>
      <c r="F45" s="81"/>
      <c r="G45" s="81"/>
      <c r="H45" s="81"/>
      <c r="I45"/>
      <c r="J45"/>
      <c r="K45"/>
    </row>
    <row r="46" spans="1:11" x14ac:dyDescent="0.2">
      <c r="A46" s="423" t="s">
        <v>686</v>
      </c>
      <c r="B46" s="414"/>
      <c r="C46" s="414"/>
      <c r="D46" s="414"/>
      <c r="E46" s="415"/>
      <c r="F46" s="81"/>
      <c r="G46" s="81"/>
      <c r="H46" s="81"/>
      <c r="I46"/>
      <c r="J46"/>
      <c r="K46"/>
    </row>
    <row r="47" spans="1:11" x14ac:dyDescent="0.2">
      <c r="A47" s="213" t="s">
        <v>1</v>
      </c>
      <c r="B47" s="208" t="s">
        <v>614</v>
      </c>
      <c r="C47" s="288"/>
      <c r="D47" s="214" t="s">
        <v>617</v>
      </c>
      <c r="E47" s="215"/>
      <c r="F47" s="81"/>
      <c r="G47" s="81"/>
      <c r="H47" s="81"/>
      <c r="I47"/>
      <c r="J47"/>
      <c r="K47"/>
    </row>
    <row r="48" spans="1:11" x14ac:dyDescent="0.2">
      <c r="A48" s="79" t="s">
        <v>4</v>
      </c>
      <c r="B48" s="14">
        <f>'Alu cans'!B51</f>
        <v>1318</v>
      </c>
      <c r="C48" s="75">
        <f>B48/$C$1</f>
        <v>0.70143693453964873</v>
      </c>
      <c r="D48" s="222">
        <f>'Alu cans'!D51</f>
        <v>19.77</v>
      </c>
      <c r="E48" s="210">
        <f>D48/$E$1</f>
        <v>0.4908752327746741</v>
      </c>
      <c r="F48" s="81"/>
      <c r="G48" s="81"/>
      <c r="H48" s="81"/>
      <c r="I48"/>
      <c r="J48"/>
      <c r="K48"/>
    </row>
    <row r="49" spans="1:11" x14ac:dyDescent="0.2">
      <c r="A49" s="79" t="str">
        <f>'Steel cans'!A63</f>
        <v>Vegetables and fruits</v>
      </c>
      <c r="B49" s="14">
        <f>'Steel cans'!B63</f>
        <v>245</v>
      </c>
      <c r="C49" s="75">
        <f>B49/$C$1</f>
        <v>0.13038850452368281</v>
      </c>
      <c r="D49" s="222">
        <f>'Steel cans'!D63</f>
        <v>11.025</v>
      </c>
      <c r="E49" s="210">
        <f>D49/$E$1</f>
        <v>0.27374301675977658</v>
      </c>
      <c r="F49" s="81"/>
      <c r="G49" s="81"/>
      <c r="H49" s="81"/>
      <c r="I49"/>
      <c r="J49"/>
      <c r="K49"/>
    </row>
    <row r="50" spans="1:11" x14ac:dyDescent="0.2">
      <c r="A50" s="79" t="s">
        <v>22</v>
      </c>
      <c r="B50" s="14">
        <f>'Alu cans'!B52</f>
        <v>158</v>
      </c>
      <c r="C50" s="75">
        <f>B50/$C$1</f>
        <v>8.4087280468334219E-2</v>
      </c>
      <c r="D50" s="222">
        <f>'Alu cans'!D52</f>
        <v>2.37</v>
      </c>
      <c r="E50" s="210">
        <f>D50/$E$1</f>
        <v>5.8845437616387344E-2</v>
      </c>
      <c r="F50" s="81"/>
      <c r="G50" s="81"/>
      <c r="H50" s="81"/>
      <c r="I50"/>
      <c r="J50"/>
      <c r="K50"/>
    </row>
    <row r="51" spans="1:11" x14ac:dyDescent="0.2">
      <c r="A51" s="79" t="str">
        <f>'Steel cans'!A64</f>
        <v>Other food</v>
      </c>
      <c r="B51" s="14">
        <f>'Steel cans'!B64</f>
        <v>129</v>
      </c>
      <c r="C51" s="75">
        <f t="shared" ref="C51:C53" si="4">B51/$C$1</f>
        <v>6.8653539116551351E-2</v>
      </c>
      <c r="D51" s="222">
        <f>'Steel cans'!D64</f>
        <v>5.8049999999999997</v>
      </c>
      <c r="E51" s="210">
        <f t="shared" ref="E51:E53" si="5">D51/$E$1</f>
        <v>0.14413407821229049</v>
      </c>
      <c r="F51" s="81"/>
      <c r="G51" s="81"/>
      <c r="H51" s="81"/>
      <c r="I51"/>
      <c r="J51"/>
      <c r="K51"/>
    </row>
    <row r="52" spans="1:11" x14ac:dyDescent="0.2">
      <c r="A52" s="79" t="str">
        <f>'Steel cans'!A65</f>
        <v>Dairy</v>
      </c>
      <c r="B52" s="14">
        <f>'Steel cans'!B65</f>
        <v>27</v>
      </c>
      <c r="C52" s="75">
        <f t="shared" si="4"/>
        <v>1.4369345396487493E-2</v>
      </c>
      <c r="D52" s="222">
        <f>'Steel cans'!D65</f>
        <v>1.2150000000000001</v>
      </c>
      <c r="E52" s="210">
        <f t="shared" si="5"/>
        <v>3.0167597765363131E-2</v>
      </c>
      <c r="F52" s="81"/>
      <c r="G52" s="81"/>
      <c r="H52" s="81"/>
      <c r="I52"/>
      <c r="J52"/>
      <c r="K52"/>
    </row>
    <row r="53" spans="1:11" ht="17" thickBot="1" x14ac:dyDescent="0.25">
      <c r="A53" s="84" t="str">
        <f>'Steel cans'!A66</f>
        <v>Coffee and tea</v>
      </c>
      <c r="B53" s="31">
        <f>'Steel cans'!B66</f>
        <v>2</v>
      </c>
      <c r="C53" s="85">
        <f t="shared" si="4"/>
        <v>1.0643959552953698E-3</v>
      </c>
      <c r="D53" s="223">
        <f>'Steel cans'!D66</f>
        <v>0.09</v>
      </c>
      <c r="E53" s="212">
        <f t="shared" si="5"/>
        <v>2.2346368715083797E-3</v>
      </c>
      <c r="F53" s="81"/>
      <c r="G53" s="81"/>
      <c r="H53" s="81"/>
      <c r="I53"/>
      <c r="J53"/>
      <c r="K53"/>
    </row>
    <row r="54" spans="1:11" x14ac:dyDescent="0.2">
      <c r="A54" s="76"/>
      <c r="B54" s="226">
        <f>SUM(B48:B53)-C1</f>
        <v>0</v>
      </c>
      <c r="C54" s="78"/>
      <c r="D54" s="226">
        <f>SUM(D48:D53)-E1</f>
        <v>0</v>
      </c>
      <c r="E54" s="78"/>
      <c r="F54" s="81"/>
      <c r="G54" s="81"/>
      <c r="H54" s="81"/>
      <c r="I54"/>
      <c r="J54"/>
      <c r="K54"/>
    </row>
    <row r="55" spans="1:11" x14ac:dyDescent="0.2">
      <c r="A55" s="76"/>
      <c r="B55" s="82"/>
      <c r="C55" s="78"/>
      <c r="D55" s="82"/>
      <c r="E55" s="78"/>
      <c r="F55" s="81"/>
      <c r="G55" s="81"/>
      <c r="H55" s="81"/>
      <c r="I55"/>
      <c r="J55"/>
      <c r="K55"/>
    </row>
    <row r="56" spans="1:11" x14ac:dyDescent="0.2">
      <c r="A56" s="76"/>
      <c r="B56" s="82"/>
      <c r="C56" s="78"/>
      <c r="D56" s="82"/>
      <c r="E56" s="78"/>
      <c r="F56" s="81"/>
      <c r="G56" s="81"/>
      <c r="H56" s="81"/>
      <c r="I56"/>
      <c r="J56"/>
      <c r="K56"/>
    </row>
    <row r="57" spans="1:11" x14ac:dyDescent="0.2">
      <c r="A57" s="76"/>
      <c r="B57" s="82"/>
      <c r="C57" s="78"/>
      <c r="D57" s="82"/>
      <c r="E57" s="78"/>
      <c r="F57" s="81"/>
      <c r="G57" s="81"/>
      <c r="H57" s="81"/>
      <c r="I57"/>
      <c r="J57"/>
      <c r="K57"/>
    </row>
    <row r="58" spans="1:11" x14ac:dyDescent="0.2">
      <c r="A58" s="76"/>
      <c r="B58" s="82"/>
      <c r="C58" s="78"/>
      <c r="D58" s="82"/>
      <c r="E58" s="78"/>
      <c r="F58" s="81"/>
      <c r="G58" s="81"/>
      <c r="H58" s="81"/>
      <c r="I58"/>
      <c r="J58"/>
      <c r="K58"/>
    </row>
    <row r="59" spans="1:11" x14ac:dyDescent="0.2">
      <c r="A59" s="76"/>
      <c r="B59" s="82"/>
      <c r="C59" s="78"/>
      <c r="D59" s="82"/>
      <c r="E59" s="78"/>
      <c r="F59" s="81"/>
      <c r="G59" s="81"/>
      <c r="H59" s="81"/>
      <c r="I59"/>
      <c r="J59"/>
      <c r="K59"/>
    </row>
    <row r="60" spans="1:11" x14ac:dyDescent="0.2">
      <c r="A60" s="76"/>
      <c r="B60" s="82"/>
      <c r="C60" s="78"/>
      <c r="D60" s="82"/>
      <c r="E60" s="78"/>
      <c r="F60" s="81"/>
      <c r="G60" s="81"/>
      <c r="H60" s="81"/>
      <c r="I60"/>
      <c r="J60"/>
      <c r="K60"/>
    </row>
    <row r="61" spans="1:11" x14ac:dyDescent="0.2">
      <c r="A61" s="76"/>
      <c r="E61" s="78"/>
      <c r="F61" s="81"/>
      <c r="G61" s="81"/>
      <c r="H61" s="81"/>
      <c r="I61"/>
      <c r="J61"/>
      <c r="K61"/>
    </row>
    <row r="62" spans="1:11" x14ac:dyDescent="0.2">
      <c r="A62" s="76"/>
      <c r="B62" s="82"/>
      <c r="C62" s="78"/>
      <c r="D62" s="228"/>
      <c r="E62" s="78"/>
      <c r="F62" s="81"/>
      <c r="G62" s="81"/>
      <c r="H62" s="81"/>
      <c r="I62"/>
      <c r="J62"/>
      <c r="K62"/>
    </row>
    <row r="63" spans="1:11" x14ac:dyDescent="0.2">
      <c r="A63" s="76"/>
      <c r="B63" s="82"/>
      <c r="C63" s="78"/>
      <c r="D63" s="228"/>
      <c r="E63" s="78"/>
      <c r="F63" s="81"/>
      <c r="G63" s="81"/>
      <c r="H63" s="81"/>
      <c r="I63"/>
      <c r="J63"/>
      <c r="K63"/>
    </row>
    <row r="64" spans="1:11" x14ac:dyDescent="0.2">
      <c r="A64" s="76"/>
      <c r="B64" s="82"/>
      <c r="C64" s="78"/>
      <c r="D64" s="228"/>
      <c r="E64" s="78"/>
      <c r="F64" s="81"/>
      <c r="G64" s="81"/>
      <c r="H64" s="81"/>
      <c r="I64"/>
      <c r="J64"/>
      <c r="K64"/>
    </row>
    <row r="65" spans="1:11" x14ac:dyDescent="0.2">
      <c r="A65" s="82"/>
      <c r="B65" s="82"/>
      <c r="C65" s="83"/>
      <c r="D65" s="228"/>
      <c r="E65" s="78"/>
      <c r="F65" s="81"/>
      <c r="G65" s="81"/>
      <c r="H65" s="81"/>
      <c r="I65"/>
      <c r="J65"/>
      <c r="K65"/>
    </row>
    <row r="66" spans="1:11" x14ac:dyDescent="0.2">
      <c r="A66" s="82"/>
      <c r="B66" s="82"/>
      <c r="C66" s="83"/>
      <c r="D66" s="228"/>
      <c r="E66" s="78"/>
      <c r="F66" s="81"/>
      <c r="G66" s="81"/>
      <c r="H66" s="81"/>
      <c r="I66"/>
      <c r="J66"/>
      <c r="K66"/>
    </row>
    <row r="67" spans="1:11" ht="17" thickBot="1" x14ac:dyDescent="0.25">
      <c r="C67" s="6"/>
      <c r="D67" s="6"/>
      <c r="E67" s="5"/>
      <c r="F67" s="5"/>
      <c r="G67" s="5"/>
      <c r="H67" s="5"/>
      <c r="I67"/>
      <c r="J67"/>
      <c r="K67"/>
    </row>
    <row r="68" spans="1:11" x14ac:dyDescent="0.2">
      <c r="A68" s="413" t="s">
        <v>128</v>
      </c>
      <c r="B68" s="414"/>
      <c r="C68" s="414"/>
      <c r="D68" s="414"/>
      <c r="E68" s="415"/>
      <c r="F68" s="5"/>
      <c r="G68" s="5"/>
      <c r="H68" s="5"/>
      <c r="I68"/>
      <c r="J68"/>
      <c r="K68"/>
    </row>
    <row r="69" spans="1:11" x14ac:dyDescent="0.2">
      <c r="A69" s="213" t="s">
        <v>618</v>
      </c>
      <c r="B69" s="208" t="s">
        <v>614</v>
      </c>
      <c r="C69" s="288"/>
      <c r="D69" s="214" t="s">
        <v>617</v>
      </c>
      <c r="E69" s="215"/>
      <c r="F69" s="81"/>
      <c r="G69" s="81"/>
      <c r="H69" s="81"/>
      <c r="I69"/>
      <c r="J69"/>
      <c r="K69"/>
    </row>
    <row r="70" spans="1:11" x14ac:dyDescent="0.2">
      <c r="A70" s="79" t="s">
        <v>6</v>
      </c>
      <c r="B70" s="14">
        <f>'Alu cans'!B72+'Steel cans'!B84</f>
        <v>1295</v>
      </c>
      <c r="C70" s="75">
        <f>B70/$C$1</f>
        <v>0.68919638105375203</v>
      </c>
      <c r="D70" s="14">
        <f>'Alu cans'!D72+'Steel cans'!D84</f>
        <v>19.635000000000002</v>
      </c>
      <c r="E70" s="210">
        <f>D70/E1</f>
        <v>0.48752327746741159</v>
      </c>
      <c r="F70" s="81"/>
      <c r="G70" s="81"/>
      <c r="H70" s="81"/>
      <c r="I70"/>
      <c r="J70"/>
      <c r="K70"/>
    </row>
    <row r="71" spans="1:11" ht="17" thickBot="1" x14ac:dyDescent="0.25">
      <c r="A71" s="84" t="s">
        <v>7</v>
      </c>
      <c r="B71" s="31">
        <f>'Alu cans'!B73+'Steel cans'!B85</f>
        <v>584</v>
      </c>
      <c r="C71" s="85">
        <f>B71/$C$1</f>
        <v>0.31080361894624803</v>
      </c>
      <c r="D71" s="31">
        <f>'Alu cans'!D73+'Steel cans'!D85</f>
        <v>20.64</v>
      </c>
      <c r="E71" s="212">
        <f>D71/E1</f>
        <v>0.51247672253258847</v>
      </c>
      <c r="F71" s="81"/>
      <c r="G71" s="81"/>
      <c r="H71" s="81"/>
      <c r="I71"/>
      <c r="J71"/>
      <c r="K71"/>
    </row>
    <row r="72" spans="1:11" x14ac:dyDescent="0.2">
      <c r="A72" s="76"/>
      <c r="B72" s="322">
        <f>B70+B71-$C$1</f>
        <v>0</v>
      </c>
      <c r="C72" s="82"/>
      <c r="D72" s="226">
        <f>SUM(D70:D71)-E1</f>
        <v>0</v>
      </c>
      <c r="E72" s="81"/>
      <c r="F72" s="81"/>
      <c r="G72" s="81"/>
      <c r="H72" s="81"/>
      <c r="I72"/>
      <c r="J72"/>
      <c r="K72"/>
    </row>
    <row r="73" spans="1:11" x14ac:dyDescent="0.2">
      <c r="A73" s="82"/>
      <c r="B73" s="82"/>
      <c r="C73" s="80"/>
      <c r="D73" s="80"/>
      <c r="E73" s="81"/>
      <c r="F73" s="81"/>
      <c r="G73" s="81"/>
      <c r="H73" s="81"/>
      <c r="I73"/>
      <c r="J73"/>
      <c r="K73"/>
    </row>
    <row r="74" spans="1:11" x14ac:dyDescent="0.2">
      <c r="A74" s="82"/>
      <c r="B74" s="82"/>
      <c r="C74" s="80"/>
      <c r="D74" s="80"/>
      <c r="E74" s="81"/>
      <c r="F74" s="81"/>
      <c r="G74" s="81"/>
      <c r="H74" s="81"/>
      <c r="I74"/>
      <c r="J74"/>
      <c r="K74"/>
    </row>
    <row r="75" spans="1:11" x14ac:dyDescent="0.2">
      <c r="A75" s="82"/>
      <c r="B75" s="82"/>
      <c r="C75" s="80"/>
      <c r="D75" s="80"/>
      <c r="E75" s="81"/>
      <c r="F75" s="81"/>
      <c r="G75" s="81"/>
      <c r="H75" s="81"/>
      <c r="I75"/>
      <c r="J75"/>
      <c r="K75"/>
    </row>
    <row r="76" spans="1:11" x14ac:dyDescent="0.2">
      <c r="A76" s="82"/>
      <c r="B76" s="82"/>
      <c r="C76" s="80"/>
      <c r="D76" s="80"/>
      <c r="E76" s="81"/>
      <c r="F76" s="81"/>
      <c r="G76" s="81"/>
      <c r="H76" s="81"/>
      <c r="I76"/>
      <c r="J76"/>
      <c r="K76"/>
    </row>
    <row r="77" spans="1:11" x14ac:dyDescent="0.2">
      <c r="A77" s="82"/>
      <c r="B77" s="82"/>
      <c r="C77" s="80"/>
      <c r="D77" s="80"/>
      <c r="E77" s="81"/>
      <c r="F77" s="81"/>
      <c r="G77" s="81"/>
      <c r="H77" s="81"/>
      <c r="I77"/>
      <c r="J77"/>
      <c r="K77"/>
    </row>
    <row r="78" spans="1:11" x14ac:dyDescent="0.2">
      <c r="A78" s="82"/>
      <c r="B78" s="82"/>
      <c r="C78" s="80"/>
      <c r="D78" s="80"/>
      <c r="E78" s="81"/>
      <c r="F78" s="81"/>
      <c r="G78" s="81"/>
      <c r="H78" s="81"/>
      <c r="I78"/>
      <c r="J78"/>
      <c r="K78"/>
    </row>
    <row r="79" spans="1:11" x14ac:dyDescent="0.2">
      <c r="A79" s="82"/>
      <c r="B79" s="82"/>
      <c r="C79" s="80"/>
      <c r="D79" s="80"/>
      <c r="E79" s="81"/>
      <c r="F79" s="81"/>
      <c r="G79" s="81"/>
      <c r="H79" s="81"/>
      <c r="I79"/>
      <c r="J79"/>
      <c r="K79"/>
    </row>
    <row r="80" spans="1:11" x14ac:dyDescent="0.2">
      <c r="A80" s="82"/>
      <c r="B80" s="82"/>
      <c r="C80" s="80"/>
      <c r="D80" s="80"/>
      <c r="E80" s="81"/>
      <c r="F80" s="81"/>
      <c r="G80" s="81"/>
      <c r="H80" s="81"/>
      <c r="I80"/>
      <c r="J80"/>
      <c r="K80"/>
    </row>
    <row r="81" spans="1:11" x14ac:dyDescent="0.2">
      <c r="A81" s="82"/>
      <c r="B81" s="82"/>
      <c r="C81" s="80"/>
      <c r="D81" s="80"/>
      <c r="E81" s="81"/>
      <c r="F81" s="81"/>
      <c r="G81" s="81"/>
      <c r="H81" s="81"/>
      <c r="I81"/>
      <c r="J81"/>
      <c r="K81"/>
    </row>
    <row r="82" spans="1:11" x14ac:dyDescent="0.2">
      <c r="A82" s="82"/>
      <c r="B82" s="82"/>
      <c r="C82" s="80"/>
      <c r="D82" s="80"/>
      <c r="E82" s="81"/>
      <c r="F82" s="81"/>
      <c r="G82" s="81"/>
      <c r="H82" s="81"/>
      <c r="I82"/>
      <c r="J82"/>
      <c r="K82"/>
    </row>
    <row r="83" spans="1:11" x14ac:dyDescent="0.2">
      <c r="A83" s="82"/>
      <c r="B83" s="82"/>
      <c r="C83" s="80"/>
      <c r="D83" s="80"/>
      <c r="E83" s="81"/>
      <c r="F83" s="81"/>
      <c r="G83" s="81"/>
      <c r="H83" s="81"/>
      <c r="I83"/>
      <c r="J83"/>
      <c r="K83"/>
    </row>
    <row r="84" spans="1:11" x14ac:dyDescent="0.2">
      <c r="C84" s="6"/>
      <c r="D84" s="6"/>
      <c r="E84" s="5"/>
      <c r="F84" s="5"/>
      <c r="G84" s="5"/>
      <c r="H84" s="5"/>
      <c r="I84"/>
      <c r="J84"/>
      <c r="K84"/>
    </row>
    <row r="85" spans="1:11" x14ac:dyDescent="0.2">
      <c r="C85" s="6"/>
      <c r="D85" s="6"/>
      <c r="E85" s="5"/>
      <c r="F85" s="5"/>
      <c r="G85" s="5"/>
      <c r="H85" s="5"/>
      <c r="I85"/>
      <c r="J85"/>
      <c r="K85"/>
    </row>
    <row r="86" spans="1:11" ht="17" thickBot="1" x14ac:dyDescent="0.25">
      <c r="C86" s="6"/>
      <c r="D86" s="6"/>
      <c r="E86" s="5"/>
      <c r="F86" s="5"/>
      <c r="G86" s="5"/>
      <c r="H86" s="5"/>
      <c r="I86"/>
      <c r="J86"/>
      <c r="K86"/>
    </row>
    <row r="87" spans="1:11" x14ac:dyDescent="0.2">
      <c r="A87" s="413" t="s">
        <v>619</v>
      </c>
      <c r="B87" s="414"/>
      <c r="C87" s="414"/>
      <c r="D87" s="414"/>
      <c r="E87" s="415"/>
      <c r="F87" s="81"/>
      <c r="G87" s="81"/>
      <c r="H87" s="81"/>
      <c r="I87"/>
      <c r="J87"/>
      <c r="K87"/>
    </row>
    <row r="88" spans="1:11" x14ac:dyDescent="0.2">
      <c r="A88" s="213" t="s">
        <v>622</v>
      </c>
      <c r="B88" s="208" t="s">
        <v>614</v>
      </c>
      <c r="C88" s="288"/>
      <c r="D88" s="214" t="s">
        <v>617</v>
      </c>
      <c r="E88" s="215"/>
      <c r="F88" s="81"/>
      <c r="G88" s="81"/>
      <c r="H88" s="81"/>
      <c r="I88"/>
      <c r="J88"/>
      <c r="K88"/>
    </row>
    <row r="89" spans="1:11" x14ac:dyDescent="0.2">
      <c r="A89" s="79" t="str">
        <f>'Alu cans'!A92</f>
        <v>Downcycling</v>
      </c>
      <c r="B89" s="14">
        <f>'Alu cans'!B92</f>
        <v>1476</v>
      </c>
      <c r="C89" s="75">
        <f>B89/$C$1</f>
        <v>0.78552421500798297</v>
      </c>
      <c r="D89" s="222">
        <f>'Alu cans'!D92</f>
        <v>22.140000000000008</v>
      </c>
      <c r="E89" s="210">
        <f>D89/E1</f>
        <v>0.54972067039106165</v>
      </c>
      <c r="F89" s="81"/>
      <c r="G89" s="81"/>
      <c r="H89" s="81"/>
      <c r="I89"/>
      <c r="J89"/>
      <c r="K89"/>
    </row>
    <row r="90" spans="1:11" ht="17" thickBot="1" x14ac:dyDescent="0.25">
      <c r="A90" s="84" t="str">
        <f>'Steel cans'!A103</f>
        <v>Landfill</v>
      </c>
      <c r="B90" s="31">
        <f>'Steel cans'!B103</f>
        <v>403</v>
      </c>
      <c r="C90" s="85">
        <f>B90/$C$1</f>
        <v>0.21447578499201703</v>
      </c>
      <c r="D90" s="223">
        <f>'Steel cans'!D103</f>
        <v>18.134999999999994</v>
      </c>
      <c r="E90" s="212">
        <f>D90/E1</f>
        <v>0.45027932960893841</v>
      </c>
      <c r="F90" s="81"/>
      <c r="G90" s="81"/>
      <c r="H90" s="81"/>
      <c r="I90"/>
      <c r="J90"/>
      <c r="K90"/>
    </row>
    <row r="91" spans="1:11" x14ac:dyDescent="0.2">
      <c r="A91" s="82"/>
      <c r="B91" s="77">
        <f>B89+B90-$C$1</f>
        <v>0</v>
      </c>
      <c r="C91" s="82"/>
      <c r="D91" s="226">
        <f>SUM(D89:D90)-E1</f>
        <v>0</v>
      </c>
      <c r="E91" s="81"/>
      <c r="F91" s="81"/>
      <c r="G91" s="81"/>
      <c r="H91" s="81"/>
      <c r="I91"/>
      <c r="J91"/>
      <c r="K91"/>
    </row>
    <row r="92" spans="1:11" x14ac:dyDescent="0.2">
      <c r="A92" s="82"/>
      <c r="B92" s="82"/>
      <c r="C92" s="80"/>
      <c r="D92" s="80"/>
      <c r="E92" s="81"/>
      <c r="F92" s="81"/>
      <c r="G92" s="81"/>
      <c r="H92" s="81"/>
      <c r="I92"/>
      <c r="J92"/>
      <c r="K92"/>
    </row>
    <row r="93" spans="1:11" x14ac:dyDescent="0.2">
      <c r="A93" s="82"/>
      <c r="B93" s="82"/>
      <c r="C93" s="80"/>
      <c r="D93" s="80"/>
      <c r="E93" s="81"/>
      <c r="F93" s="81"/>
      <c r="G93" s="81"/>
      <c r="H93" s="81"/>
      <c r="I93"/>
      <c r="J93"/>
      <c r="K93"/>
    </row>
    <row r="94" spans="1:11" x14ac:dyDescent="0.2">
      <c r="A94" s="82"/>
      <c r="B94" s="82"/>
      <c r="C94" s="80"/>
      <c r="D94" s="80"/>
      <c r="E94" s="81"/>
      <c r="F94" s="81"/>
      <c r="G94" s="81"/>
      <c r="H94" s="81"/>
      <c r="I94"/>
      <c r="J94"/>
      <c r="K94"/>
    </row>
    <row r="95" spans="1:11" x14ac:dyDescent="0.2">
      <c r="A95" s="82"/>
      <c r="B95" s="82"/>
      <c r="C95" s="80"/>
      <c r="D95" s="80"/>
      <c r="E95" s="81"/>
      <c r="F95" s="81"/>
      <c r="G95" s="81"/>
      <c r="H95" s="81"/>
      <c r="I95"/>
      <c r="J95"/>
      <c r="K95"/>
    </row>
    <row r="96" spans="1:11" x14ac:dyDescent="0.2">
      <c r="A96" s="82"/>
      <c r="B96" s="82"/>
      <c r="C96" s="80"/>
      <c r="D96" s="80"/>
      <c r="E96" s="81"/>
      <c r="F96" s="81"/>
      <c r="G96" s="81"/>
      <c r="H96" s="81"/>
      <c r="I96"/>
      <c r="J96"/>
      <c r="K96"/>
    </row>
    <row r="97" spans="1:11" x14ac:dyDescent="0.2">
      <c r="A97" s="82"/>
      <c r="B97" s="82"/>
      <c r="C97" s="80"/>
      <c r="D97" s="80"/>
      <c r="E97" s="81"/>
      <c r="F97" s="81"/>
      <c r="G97" s="81"/>
      <c r="H97" s="81"/>
      <c r="I97"/>
      <c r="J97"/>
      <c r="K97"/>
    </row>
    <row r="98" spans="1:11" x14ac:dyDescent="0.2">
      <c r="A98" s="82"/>
      <c r="B98" s="82"/>
      <c r="C98" s="80"/>
      <c r="D98" s="80"/>
      <c r="E98" s="81"/>
      <c r="F98" s="81"/>
      <c r="G98" s="81"/>
      <c r="H98" s="81"/>
      <c r="I98"/>
      <c r="J98"/>
      <c r="K98"/>
    </row>
    <row r="99" spans="1:11" x14ac:dyDescent="0.2">
      <c r="A99" s="82"/>
      <c r="B99" s="82"/>
      <c r="C99" s="80"/>
      <c r="D99" s="80"/>
      <c r="E99" s="81"/>
      <c r="F99" s="81"/>
      <c r="G99" s="81"/>
      <c r="H99" s="81"/>
      <c r="I99"/>
      <c r="J99"/>
      <c r="K99"/>
    </row>
    <row r="100" spans="1:11" x14ac:dyDescent="0.2">
      <c r="A100" s="82"/>
      <c r="B100" s="82"/>
      <c r="C100" s="80"/>
      <c r="D100" s="80"/>
      <c r="E100" s="81"/>
      <c r="F100" s="81"/>
      <c r="G100" s="81"/>
      <c r="H100" s="81"/>
      <c r="I100"/>
      <c r="J100"/>
      <c r="K100"/>
    </row>
    <row r="101" spans="1:11" x14ac:dyDescent="0.2">
      <c r="A101" s="82"/>
      <c r="B101" s="82"/>
      <c r="C101" s="80"/>
      <c r="D101" s="80"/>
      <c r="E101" s="81"/>
      <c r="F101" s="81"/>
      <c r="G101" s="81"/>
      <c r="H101" s="81"/>
      <c r="I101"/>
      <c r="J101"/>
      <c r="K101"/>
    </row>
    <row r="102" spans="1:11" x14ac:dyDescent="0.2">
      <c r="A102" s="82"/>
      <c r="B102" s="82"/>
      <c r="C102" s="80"/>
      <c r="D102" s="80"/>
      <c r="E102" s="81"/>
      <c r="F102" s="81"/>
      <c r="G102" s="81"/>
      <c r="H102" s="81"/>
      <c r="I102"/>
      <c r="J102"/>
      <c r="K102"/>
    </row>
  </sheetData>
  <mergeCells count="6">
    <mergeCell ref="A87:E87"/>
    <mergeCell ref="C1:D1"/>
    <mergeCell ref="A5:E5"/>
    <mergeCell ref="A27:E27"/>
    <mergeCell ref="A46:E46"/>
    <mergeCell ref="A68:E6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98B1-E98A-7D44-A097-A6189CC603A9}">
  <sheetPr>
    <tabColor theme="9"/>
  </sheetPr>
  <dimension ref="A1:K114"/>
  <sheetViews>
    <sheetView workbookViewId="0"/>
  </sheetViews>
  <sheetFormatPr baseColWidth="10" defaultColWidth="10.6640625" defaultRowHeight="16" x14ac:dyDescent="0.2"/>
  <cols>
    <col min="1" max="1" width="26.33203125" customWidth="1"/>
    <col min="2" max="2" width="33.1640625" customWidth="1"/>
    <col min="3" max="4" width="7" style="2" customWidth="1"/>
    <col min="5" max="5" width="15.1640625" style="5" customWidth="1"/>
    <col min="6" max="6" width="11.83203125" style="5" customWidth="1"/>
    <col min="7" max="7" width="12" style="5" customWidth="1"/>
    <col min="8" max="8" width="18.83203125" style="5" customWidth="1"/>
    <col min="9" max="10" width="11.6640625" customWidth="1"/>
  </cols>
  <sheetData>
    <row r="1" spans="1:10" s="4" customFormat="1" ht="34" x14ac:dyDescent="0.4">
      <c r="A1" s="3" t="s">
        <v>13</v>
      </c>
      <c r="C1" s="420">
        <f>SUM(C4:C36)</f>
        <v>872</v>
      </c>
      <c r="D1" s="420"/>
      <c r="E1" s="108">
        <f>0.04*C1</f>
        <v>34.880000000000003</v>
      </c>
      <c r="F1" s="107" t="s">
        <v>236</v>
      </c>
      <c r="I1" s="155">
        <f>SUM(I4:I35)-E1</f>
        <v>0</v>
      </c>
    </row>
    <row r="2" spans="1:10" ht="17" thickBot="1" x14ac:dyDescent="0.25">
      <c r="D2" s="8"/>
    </row>
    <row r="3" spans="1:10" s="1" customFormat="1" ht="34" customHeight="1" thickBot="1" x14ac:dyDescent="0.25">
      <c r="A3" s="58" t="s">
        <v>20</v>
      </c>
      <c r="B3" s="59" t="s">
        <v>2</v>
      </c>
      <c r="C3" s="421" t="s">
        <v>3</v>
      </c>
      <c r="D3" s="421"/>
      <c r="E3" s="59" t="s">
        <v>1</v>
      </c>
      <c r="F3" s="59" t="s">
        <v>186</v>
      </c>
      <c r="G3" s="59" t="s">
        <v>5</v>
      </c>
      <c r="H3" s="95" t="s">
        <v>16</v>
      </c>
      <c r="I3" s="275" t="s">
        <v>367</v>
      </c>
      <c r="J3" s="60" t="s">
        <v>708</v>
      </c>
    </row>
    <row r="4" spans="1:10" x14ac:dyDescent="0.2">
      <c r="A4" s="22" t="s">
        <v>8</v>
      </c>
      <c r="B4" s="23" t="s">
        <v>36</v>
      </c>
      <c r="C4" s="24">
        <v>219</v>
      </c>
      <c r="D4" s="25">
        <f t="shared" ref="D4:D35" si="0">C4/$C$1</f>
        <v>0.25114678899082571</v>
      </c>
      <c r="E4" s="26" t="s">
        <v>34</v>
      </c>
      <c r="F4" s="26" t="s">
        <v>188</v>
      </c>
      <c r="G4" s="26" t="s">
        <v>6</v>
      </c>
      <c r="H4" s="97" t="s">
        <v>441</v>
      </c>
      <c r="I4" s="122">
        <f>C4*$J$4/1000</f>
        <v>8.76</v>
      </c>
      <c r="J4" s="424">
        <v>40</v>
      </c>
    </row>
    <row r="5" spans="1:10" x14ac:dyDescent="0.2">
      <c r="A5" s="28" t="s">
        <v>8</v>
      </c>
      <c r="B5" s="14" t="s">
        <v>38</v>
      </c>
      <c r="C5" s="15">
        <v>28</v>
      </c>
      <c r="D5" s="20">
        <f t="shared" si="0"/>
        <v>3.2110091743119268E-2</v>
      </c>
      <c r="E5" s="16" t="s">
        <v>39</v>
      </c>
      <c r="F5" s="16" t="s">
        <v>188</v>
      </c>
      <c r="G5" s="16" t="s">
        <v>6</v>
      </c>
      <c r="H5" s="96" t="s">
        <v>441</v>
      </c>
      <c r="I5" s="117">
        <f t="shared" ref="I5:I35" si="1">C5*$J$4/1000</f>
        <v>1.1200000000000001</v>
      </c>
      <c r="J5" s="425"/>
    </row>
    <row r="6" spans="1:10" x14ac:dyDescent="0.2">
      <c r="A6" s="28" t="s">
        <v>8</v>
      </c>
      <c r="B6" s="14" t="s">
        <v>50</v>
      </c>
      <c r="C6" s="15">
        <v>11</v>
      </c>
      <c r="D6" s="20">
        <f t="shared" si="0"/>
        <v>1.261467889908257E-2</v>
      </c>
      <c r="E6" s="16" t="s">
        <v>385</v>
      </c>
      <c r="F6" s="16" t="s">
        <v>188</v>
      </c>
      <c r="G6" s="16" t="s">
        <v>6</v>
      </c>
      <c r="H6" s="96" t="s">
        <v>441</v>
      </c>
      <c r="I6" s="117">
        <f t="shared" si="1"/>
        <v>0.44</v>
      </c>
      <c r="J6" s="425"/>
    </row>
    <row r="7" spans="1:10" x14ac:dyDescent="0.2">
      <c r="A7" s="28" t="s">
        <v>8</v>
      </c>
      <c r="B7" s="14" t="s">
        <v>51</v>
      </c>
      <c r="C7" s="15">
        <v>2</v>
      </c>
      <c r="D7" s="20">
        <f t="shared" si="0"/>
        <v>2.2935779816513763E-3</v>
      </c>
      <c r="E7" s="16" t="s">
        <v>34</v>
      </c>
      <c r="F7" s="16" t="s">
        <v>188</v>
      </c>
      <c r="G7" s="16" t="s">
        <v>6</v>
      </c>
      <c r="H7" s="96" t="s">
        <v>441</v>
      </c>
      <c r="I7" s="117">
        <f t="shared" si="1"/>
        <v>0.08</v>
      </c>
      <c r="J7" s="425"/>
    </row>
    <row r="8" spans="1:10" ht="17" thickBot="1" x14ac:dyDescent="0.25">
      <c r="A8" s="30" t="s">
        <v>8</v>
      </c>
      <c r="B8" s="31" t="s">
        <v>52</v>
      </c>
      <c r="C8" s="32">
        <v>2</v>
      </c>
      <c r="D8" s="33">
        <f t="shared" si="0"/>
        <v>2.2935779816513763E-3</v>
      </c>
      <c r="E8" s="34" t="s">
        <v>385</v>
      </c>
      <c r="F8" s="34" t="s">
        <v>188</v>
      </c>
      <c r="G8" s="34" t="s">
        <v>6</v>
      </c>
      <c r="H8" s="98" t="s">
        <v>441</v>
      </c>
      <c r="I8" s="267">
        <f t="shared" si="1"/>
        <v>0.08</v>
      </c>
      <c r="J8" s="425"/>
    </row>
    <row r="9" spans="1:10" x14ac:dyDescent="0.2">
      <c r="A9" s="201" t="s">
        <v>35</v>
      </c>
      <c r="B9" s="93" t="s">
        <v>37</v>
      </c>
      <c r="C9" s="55">
        <v>184</v>
      </c>
      <c r="D9" s="56">
        <f t="shared" si="0"/>
        <v>0.21100917431192662</v>
      </c>
      <c r="E9" s="57" t="s">
        <v>34</v>
      </c>
      <c r="F9" s="57" t="s">
        <v>188</v>
      </c>
      <c r="G9" s="57" t="s">
        <v>6</v>
      </c>
      <c r="H9" s="242" t="s">
        <v>441</v>
      </c>
      <c r="I9" s="122">
        <f t="shared" si="1"/>
        <v>7.36</v>
      </c>
      <c r="J9" s="425"/>
    </row>
    <row r="10" spans="1:10" x14ac:dyDescent="0.2">
      <c r="A10" s="28" t="s">
        <v>35</v>
      </c>
      <c r="B10" s="14" t="s">
        <v>40</v>
      </c>
      <c r="C10" s="15">
        <v>8</v>
      </c>
      <c r="D10" s="20">
        <f t="shared" si="0"/>
        <v>9.1743119266055051E-3</v>
      </c>
      <c r="E10" s="16" t="s">
        <v>39</v>
      </c>
      <c r="F10" s="16" t="s">
        <v>188</v>
      </c>
      <c r="G10" s="16" t="s">
        <v>6</v>
      </c>
      <c r="H10" s="96" t="s">
        <v>441</v>
      </c>
      <c r="I10" s="117">
        <f t="shared" si="1"/>
        <v>0.32</v>
      </c>
      <c r="J10" s="425"/>
    </row>
    <row r="11" spans="1:10" x14ac:dyDescent="0.2">
      <c r="A11" s="28" t="s">
        <v>35</v>
      </c>
      <c r="B11" s="14" t="s">
        <v>41</v>
      </c>
      <c r="C11" s="15">
        <v>8</v>
      </c>
      <c r="D11" s="20">
        <f t="shared" si="0"/>
        <v>9.1743119266055051E-3</v>
      </c>
      <c r="E11" s="16" t="s">
        <v>39</v>
      </c>
      <c r="F11" s="16" t="s">
        <v>188</v>
      </c>
      <c r="G11" s="16" t="s">
        <v>6</v>
      </c>
      <c r="H11" s="96" t="s">
        <v>441</v>
      </c>
      <c r="I11" s="117">
        <f t="shared" si="1"/>
        <v>0.32</v>
      </c>
      <c r="J11" s="425"/>
    </row>
    <row r="12" spans="1:10" x14ac:dyDescent="0.2">
      <c r="A12" s="28" t="s">
        <v>35</v>
      </c>
      <c r="B12" s="14" t="s">
        <v>421</v>
      </c>
      <c r="C12" s="15">
        <v>1</v>
      </c>
      <c r="D12" s="20">
        <f t="shared" si="0"/>
        <v>1.1467889908256881E-3</v>
      </c>
      <c r="E12" s="16" t="s">
        <v>34</v>
      </c>
      <c r="F12" s="16" t="s">
        <v>188</v>
      </c>
      <c r="G12" s="16" t="s">
        <v>6</v>
      </c>
      <c r="H12" s="96" t="s">
        <v>441</v>
      </c>
      <c r="I12" s="117">
        <f t="shared" si="1"/>
        <v>0.04</v>
      </c>
      <c r="J12" s="425"/>
    </row>
    <row r="13" spans="1:10" x14ac:dyDescent="0.2">
      <c r="A13" s="28" t="s">
        <v>35</v>
      </c>
      <c r="B13" s="14" t="s">
        <v>422</v>
      </c>
      <c r="C13" s="15">
        <v>2</v>
      </c>
      <c r="D13" s="20">
        <f t="shared" si="0"/>
        <v>2.2935779816513763E-3</v>
      </c>
      <c r="E13" s="16" t="s">
        <v>385</v>
      </c>
      <c r="F13" s="16" t="s">
        <v>188</v>
      </c>
      <c r="G13" s="16" t="s">
        <v>6</v>
      </c>
      <c r="H13" s="96" t="s">
        <v>441</v>
      </c>
      <c r="I13" s="117">
        <f t="shared" si="1"/>
        <v>0.08</v>
      </c>
      <c r="J13" s="425"/>
    </row>
    <row r="14" spans="1:10" x14ac:dyDescent="0.2">
      <c r="A14" s="28" t="s">
        <v>35</v>
      </c>
      <c r="B14" s="14" t="s">
        <v>53</v>
      </c>
      <c r="C14" s="15">
        <v>5</v>
      </c>
      <c r="D14" s="20">
        <f t="shared" si="0"/>
        <v>5.7339449541284407E-3</v>
      </c>
      <c r="E14" s="16" t="s">
        <v>385</v>
      </c>
      <c r="F14" s="16" t="s">
        <v>188</v>
      </c>
      <c r="G14" s="16" t="s">
        <v>6</v>
      </c>
      <c r="H14" s="96" t="s">
        <v>441</v>
      </c>
      <c r="I14" s="117">
        <f t="shared" si="1"/>
        <v>0.2</v>
      </c>
      <c r="J14" s="425"/>
    </row>
    <row r="15" spans="1:10" x14ac:dyDescent="0.2">
      <c r="A15" s="28" t="s">
        <v>35</v>
      </c>
      <c r="B15" s="14" t="s">
        <v>132</v>
      </c>
      <c r="C15" s="15">
        <v>1</v>
      </c>
      <c r="D15" s="20">
        <f t="shared" si="0"/>
        <v>1.1467889908256881E-3</v>
      </c>
      <c r="E15" s="16" t="s">
        <v>39</v>
      </c>
      <c r="F15" s="16" t="s">
        <v>188</v>
      </c>
      <c r="G15" s="16" t="s">
        <v>6</v>
      </c>
      <c r="H15" s="96" t="s">
        <v>441</v>
      </c>
      <c r="I15" s="117">
        <f t="shared" si="1"/>
        <v>0.04</v>
      </c>
      <c r="J15" s="425"/>
    </row>
    <row r="16" spans="1:10" x14ac:dyDescent="0.2">
      <c r="A16" s="28" t="s">
        <v>35</v>
      </c>
      <c r="B16" s="14" t="s">
        <v>133</v>
      </c>
      <c r="C16" s="15">
        <v>6</v>
      </c>
      <c r="D16" s="20">
        <f t="shared" si="0"/>
        <v>6.8807339449541288E-3</v>
      </c>
      <c r="E16" s="16" t="s">
        <v>34</v>
      </c>
      <c r="F16" s="16" t="s">
        <v>188</v>
      </c>
      <c r="G16" s="16" t="s">
        <v>6</v>
      </c>
      <c r="H16" s="96" t="s">
        <v>441</v>
      </c>
      <c r="I16" s="117">
        <f t="shared" si="1"/>
        <v>0.24</v>
      </c>
      <c r="J16" s="425"/>
    </row>
    <row r="17" spans="1:10" x14ac:dyDescent="0.2">
      <c r="A17" s="28" t="s">
        <v>35</v>
      </c>
      <c r="B17" s="14" t="s">
        <v>136</v>
      </c>
      <c r="C17" s="17">
        <v>9</v>
      </c>
      <c r="D17" s="20">
        <f t="shared" si="0"/>
        <v>1.0321100917431193E-2</v>
      </c>
      <c r="E17" s="16" t="s">
        <v>39</v>
      </c>
      <c r="F17" s="16" t="s">
        <v>188</v>
      </c>
      <c r="G17" s="16" t="s">
        <v>6</v>
      </c>
      <c r="H17" s="96" t="s">
        <v>441</v>
      </c>
      <c r="I17" s="117">
        <f t="shared" si="1"/>
        <v>0.36</v>
      </c>
      <c r="J17" s="425"/>
    </row>
    <row r="18" spans="1:10" x14ac:dyDescent="0.2">
      <c r="A18" s="28" t="s">
        <v>35</v>
      </c>
      <c r="B18" s="14" t="s">
        <v>137</v>
      </c>
      <c r="C18" s="17">
        <v>4</v>
      </c>
      <c r="D18" s="20">
        <f t="shared" si="0"/>
        <v>4.5871559633027525E-3</v>
      </c>
      <c r="E18" s="16" t="s">
        <v>34</v>
      </c>
      <c r="F18" s="16" t="s">
        <v>188</v>
      </c>
      <c r="G18" s="16" t="s">
        <v>6</v>
      </c>
      <c r="H18" s="96" t="s">
        <v>441</v>
      </c>
      <c r="I18" s="117">
        <f t="shared" si="1"/>
        <v>0.16</v>
      </c>
      <c r="J18" s="425"/>
    </row>
    <row r="19" spans="1:10" x14ac:dyDescent="0.2">
      <c r="A19" s="28" t="s">
        <v>35</v>
      </c>
      <c r="B19" s="14" t="s">
        <v>59</v>
      </c>
      <c r="C19" s="15">
        <v>4</v>
      </c>
      <c r="D19" s="20">
        <f t="shared" si="0"/>
        <v>4.5871559633027525E-3</v>
      </c>
      <c r="E19" s="16" t="s">
        <v>39</v>
      </c>
      <c r="F19" s="16" t="s">
        <v>188</v>
      </c>
      <c r="G19" s="16" t="s">
        <v>6</v>
      </c>
      <c r="H19" s="96" t="s">
        <v>441</v>
      </c>
      <c r="I19" s="117">
        <f t="shared" si="1"/>
        <v>0.16</v>
      </c>
      <c r="J19" s="425"/>
    </row>
    <row r="20" spans="1:10" ht="17" thickBot="1" x14ac:dyDescent="0.25">
      <c r="A20" s="62" t="s">
        <v>35</v>
      </c>
      <c r="B20" s="51" t="s">
        <v>61</v>
      </c>
      <c r="C20" s="264">
        <v>3</v>
      </c>
      <c r="D20" s="53">
        <f t="shared" si="0"/>
        <v>3.4403669724770644E-3</v>
      </c>
      <c r="E20" s="54" t="s">
        <v>385</v>
      </c>
      <c r="F20" s="54" t="s">
        <v>188</v>
      </c>
      <c r="G20" s="54" t="s">
        <v>6</v>
      </c>
      <c r="H20" s="134" t="s">
        <v>441</v>
      </c>
      <c r="I20" s="263">
        <f t="shared" si="1"/>
        <v>0.12</v>
      </c>
      <c r="J20" s="425"/>
    </row>
    <row r="21" spans="1:10" x14ac:dyDescent="0.2">
      <c r="A21" s="22" t="s">
        <v>57</v>
      </c>
      <c r="B21" s="23" t="s">
        <v>58</v>
      </c>
      <c r="C21" s="24">
        <v>21</v>
      </c>
      <c r="D21" s="25">
        <f t="shared" si="0"/>
        <v>2.4082568807339451E-2</v>
      </c>
      <c r="E21" s="26" t="s">
        <v>39</v>
      </c>
      <c r="F21" s="26" t="s">
        <v>188</v>
      </c>
      <c r="G21" s="26" t="s">
        <v>6</v>
      </c>
      <c r="H21" s="97" t="s">
        <v>441</v>
      </c>
      <c r="I21" s="122">
        <f t="shared" si="1"/>
        <v>0.84</v>
      </c>
      <c r="J21" s="425"/>
    </row>
    <row r="22" spans="1:10" x14ac:dyDescent="0.2">
      <c r="A22" s="28" t="s">
        <v>57</v>
      </c>
      <c r="B22" s="14" t="s">
        <v>60</v>
      </c>
      <c r="C22" s="15">
        <v>17</v>
      </c>
      <c r="D22" s="20">
        <f t="shared" si="0"/>
        <v>1.9495412844036698E-2</v>
      </c>
      <c r="E22" s="16" t="s">
        <v>39</v>
      </c>
      <c r="F22" s="16" t="s">
        <v>188</v>
      </c>
      <c r="G22" s="16" t="s">
        <v>6</v>
      </c>
      <c r="H22" s="96" t="s">
        <v>441</v>
      </c>
      <c r="I22" s="117">
        <f t="shared" si="1"/>
        <v>0.68</v>
      </c>
      <c r="J22" s="425"/>
    </row>
    <row r="23" spans="1:10" x14ac:dyDescent="0.2">
      <c r="A23" s="28" t="s">
        <v>57</v>
      </c>
      <c r="B23" s="14" t="s">
        <v>134</v>
      </c>
      <c r="C23" s="15">
        <v>30</v>
      </c>
      <c r="D23" s="20">
        <f t="shared" si="0"/>
        <v>3.4403669724770644E-2</v>
      </c>
      <c r="E23" s="16" t="s">
        <v>39</v>
      </c>
      <c r="F23" s="16" t="s">
        <v>188</v>
      </c>
      <c r="G23" s="16" t="s">
        <v>6</v>
      </c>
      <c r="H23" s="96" t="s">
        <v>441</v>
      </c>
      <c r="I23" s="117">
        <f t="shared" si="1"/>
        <v>1.2</v>
      </c>
      <c r="J23" s="425"/>
    </row>
    <row r="24" spans="1:10" ht="17" thickBot="1" x14ac:dyDescent="0.25">
      <c r="A24" s="30" t="s">
        <v>57</v>
      </c>
      <c r="B24" s="31" t="s">
        <v>135</v>
      </c>
      <c r="C24" s="32">
        <v>24</v>
      </c>
      <c r="D24" s="33">
        <f t="shared" si="0"/>
        <v>2.7522935779816515E-2</v>
      </c>
      <c r="E24" s="34" t="s">
        <v>34</v>
      </c>
      <c r="F24" s="34" t="s">
        <v>188</v>
      </c>
      <c r="G24" s="34" t="s">
        <v>6</v>
      </c>
      <c r="H24" s="98" t="s">
        <v>441</v>
      </c>
      <c r="I24" s="267">
        <f t="shared" si="1"/>
        <v>0.96</v>
      </c>
      <c r="J24" s="425"/>
    </row>
    <row r="25" spans="1:10" x14ac:dyDescent="0.2">
      <c r="A25" s="201" t="s">
        <v>47</v>
      </c>
      <c r="B25" s="93" t="s">
        <v>48</v>
      </c>
      <c r="C25" s="55">
        <v>11</v>
      </c>
      <c r="D25" s="56">
        <f t="shared" si="0"/>
        <v>1.261467889908257E-2</v>
      </c>
      <c r="E25" s="57" t="s">
        <v>39</v>
      </c>
      <c r="F25" s="57" t="s">
        <v>188</v>
      </c>
      <c r="G25" s="57" t="s">
        <v>6</v>
      </c>
      <c r="H25" s="242" t="s">
        <v>441</v>
      </c>
      <c r="I25" s="122">
        <f t="shared" si="1"/>
        <v>0.44</v>
      </c>
      <c r="J25" s="425"/>
    </row>
    <row r="26" spans="1:10" x14ac:dyDescent="0.2">
      <c r="A26" s="28" t="s">
        <v>47</v>
      </c>
      <c r="B26" s="14" t="s">
        <v>44</v>
      </c>
      <c r="C26" s="15">
        <v>30</v>
      </c>
      <c r="D26" s="20">
        <f t="shared" si="0"/>
        <v>3.4403669724770644E-2</v>
      </c>
      <c r="E26" s="16" t="s">
        <v>34</v>
      </c>
      <c r="F26" s="16" t="s">
        <v>188</v>
      </c>
      <c r="G26" s="16" t="s">
        <v>6</v>
      </c>
      <c r="H26" s="96" t="s">
        <v>441</v>
      </c>
      <c r="I26" s="117">
        <f t="shared" si="1"/>
        <v>1.2</v>
      </c>
      <c r="J26" s="425"/>
    </row>
    <row r="27" spans="1:10" ht="17" thickBot="1" x14ac:dyDescent="0.25">
      <c r="A27" s="62" t="s">
        <v>47</v>
      </c>
      <c r="B27" s="51" t="s">
        <v>49</v>
      </c>
      <c r="C27" s="52">
        <v>17</v>
      </c>
      <c r="D27" s="53">
        <f t="shared" si="0"/>
        <v>1.9495412844036698E-2</v>
      </c>
      <c r="E27" s="54" t="s">
        <v>39</v>
      </c>
      <c r="F27" s="54" t="s">
        <v>188</v>
      </c>
      <c r="G27" s="54" t="s">
        <v>6</v>
      </c>
      <c r="H27" s="134" t="s">
        <v>441</v>
      </c>
      <c r="I27" s="263">
        <f t="shared" si="1"/>
        <v>0.68</v>
      </c>
      <c r="J27" s="425"/>
    </row>
    <row r="28" spans="1:10" ht="17" thickBot="1" x14ac:dyDescent="0.25">
      <c r="A28" s="70" t="s">
        <v>411</v>
      </c>
      <c r="B28" s="36" t="s">
        <v>63</v>
      </c>
      <c r="C28" s="63">
        <v>44</v>
      </c>
      <c r="D28" s="38">
        <f t="shared" si="0"/>
        <v>5.0458715596330278E-2</v>
      </c>
      <c r="E28" s="39" t="s">
        <v>39</v>
      </c>
      <c r="F28" s="39" t="s">
        <v>188</v>
      </c>
      <c r="G28" s="39" t="s">
        <v>7</v>
      </c>
      <c r="H28" s="99" t="s">
        <v>441</v>
      </c>
      <c r="I28" s="268">
        <f t="shared" si="1"/>
        <v>1.76</v>
      </c>
      <c r="J28" s="425"/>
    </row>
    <row r="29" spans="1:10" ht="17" thickBot="1" x14ac:dyDescent="0.25">
      <c r="A29" s="249" t="s">
        <v>88</v>
      </c>
      <c r="B29" s="113" t="s">
        <v>62</v>
      </c>
      <c r="C29" s="265">
        <v>42</v>
      </c>
      <c r="D29" s="115">
        <f t="shared" si="0"/>
        <v>4.8165137614678902E-2</v>
      </c>
      <c r="E29" s="116" t="s">
        <v>39</v>
      </c>
      <c r="F29" s="116" t="s">
        <v>188</v>
      </c>
      <c r="G29" s="116" t="s">
        <v>7</v>
      </c>
      <c r="H29" s="174" t="s">
        <v>441</v>
      </c>
      <c r="I29" s="263">
        <f t="shared" si="1"/>
        <v>1.68</v>
      </c>
      <c r="J29" s="425"/>
    </row>
    <row r="30" spans="1:10" ht="17" x14ac:dyDescent="0.2">
      <c r="A30" s="90" t="s">
        <v>42</v>
      </c>
      <c r="B30" s="61" t="s">
        <v>43</v>
      </c>
      <c r="C30" s="24">
        <v>18</v>
      </c>
      <c r="D30" s="25">
        <f t="shared" si="0"/>
        <v>2.0642201834862386E-2</v>
      </c>
      <c r="E30" s="26" t="s">
        <v>385</v>
      </c>
      <c r="F30" s="26" t="s">
        <v>188</v>
      </c>
      <c r="G30" s="26" t="s">
        <v>6</v>
      </c>
      <c r="H30" s="97" t="s">
        <v>441</v>
      </c>
      <c r="I30" s="122">
        <f t="shared" si="1"/>
        <v>0.72</v>
      </c>
      <c r="J30" s="425"/>
    </row>
    <row r="31" spans="1:10" x14ac:dyDescent="0.2">
      <c r="A31" s="28" t="s">
        <v>42</v>
      </c>
      <c r="B31" s="14" t="s">
        <v>54</v>
      </c>
      <c r="C31" s="15">
        <v>8</v>
      </c>
      <c r="D31" s="20">
        <f t="shared" si="0"/>
        <v>9.1743119266055051E-3</v>
      </c>
      <c r="E31" s="16" t="s">
        <v>34</v>
      </c>
      <c r="F31" s="16" t="s">
        <v>188</v>
      </c>
      <c r="G31" s="16" t="s">
        <v>6</v>
      </c>
      <c r="H31" s="96" t="s">
        <v>441</v>
      </c>
      <c r="I31" s="117">
        <f t="shared" si="1"/>
        <v>0.32</v>
      </c>
      <c r="J31" s="425"/>
    </row>
    <row r="32" spans="1:10" ht="17" thickBot="1" x14ac:dyDescent="0.25">
      <c r="A32" s="30" t="s">
        <v>42</v>
      </c>
      <c r="B32" s="31" t="s">
        <v>55</v>
      </c>
      <c r="C32" s="32">
        <v>7</v>
      </c>
      <c r="D32" s="33">
        <f t="shared" si="0"/>
        <v>8.027522935779817E-3</v>
      </c>
      <c r="E32" s="34" t="s">
        <v>39</v>
      </c>
      <c r="F32" s="34" t="s">
        <v>188</v>
      </c>
      <c r="G32" s="34" t="s">
        <v>6</v>
      </c>
      <c r="H32" s="98" t="s">
        <v>441</v>
      </c>
      <c r="I32" s="267">
        <f t="shared" si="1"/>
        <v>0.28000000000000003</v>
      </c>
      <c r="J32" s="425"/>
    </row>
    <row r="33" spans="1:11" x14ac:dyDescent="0.2">
      <c r="A33" s="201" t="s">
        <v>45</v>
      </c>
      <c r="B33" s="93" t="s">
        <v>44</v>
      </c>
      <c r="C33" s="55">
        <v>37</v>
      </c>
      <c r="D33" s="56">
        <f t="shared" si="0"/>
        <v>4.2431192660550461E-2</v>
      </c>
      <c r="E33" s="57" t="s">
        <v>34</v>
      </c>
      <c r="F33" s="57" t="s">
        <v>188</v>
      </c>
      <c r="G33" s="57" t="s">
        <v>6</v>
      </c>
      <c r="H33" s="242" t="s">
        <v>441</v>
      </c>
      <c r="I33" s="122">
        <f t="shared" si="1"/>
        <v>1.48</v>
      </c>
      <c r="J33" s="425"/>
    </row>
    <row r="34" spans="1:11" ht="17" thickBot="1" x14ac:dyDescent="0.25">
      <c r="A34" s="62" t="s">
        <v>45</v>
      </c>
      <c r="B34" s="51" t="s">
        <v>46</v>
      </c>
      <c r="C34" s="52">
        <v>9</v>
      </c>
      <c r="D34" s="53">
        <f t="shared" si="0"/>
        <v>1.0321100917431193E-2</v>
      </c>
      <c r="E34" s="54" t="s">
        <v>385</v>
      </c>
      <c r="F34" s="54" t="s">
        <v>188</v>
      </c>
      <c r="G34" s="54" t="s">
        <v>6</v>
      </c>
      <c r="H34" s="134" t="s">
        <v>441</v>
      </c>
      <c r="I34" s="263">
        <f t="shared" si="1"/>
        <v>0.36</v>
      </c>
      <c r="J34" s="425"/>
    </row>
    <row r="35" spans="1:11" ht="17" thickBot="1" x14ac:dyDescent="0.25">
      <c r="A35" s="270" t="s">
        <v>435</v>
      </c>
      <c r="B35" s="65" t="s">
        <v>64</v>
      </c>
      <c r="C35" s="63">
        <v>60</v>
      </c>
      <c r="D35" s="38">
        <f t="shared" si="0"/>
        <v>6.8807339449541288E-2</v>
      </c>
      <c r="E35" s="39" t="s">
        <v>39</v>
      </c>
      <c r="F35" s="39" t="s">
        <v>188</v>
      </c>
      <c r="G35" s="39" t="s">
        <v>7</v>
      </c>
      <c r="H35" s="99" t="s">
        <v>441</v>
      </c>
      <c r="I35" s="268">
        <f t="shared" si="1"/>
        <v>2.4</v>
      </c>
      <c r="J35" s="426"/>
    </row>
    <row r="36" spans="1:11" s="83" customFormat="1" x14ac:dyDescent="0.2">
      <c r="C36" s="193"/>
      <c r="D36" s="194"/>
      <c r="E36" s="81"/>
      <c r="F36" s="81"/>
      <c r="G36" s="81"/>
      <c r="H36" s="81"/>
    </row>
    <row r="37" spans="1:11" ht="17" thickBot="1" x14ac:dyDescent="0.25">
      <c r="D37" s="13"/>
    </row>
    <row r="38" spans="1:11" x14ac:dyDescent="0.2">
      <c r="A38" s="413" t="s">
        <v>669</v>
      </c>
      <c r="B38" s="414"/>
      <c r="C38" s="414"/>
      <c r="D38" s="414"/>
      <c r="E38" s="415"/>
      <c r="F38" s="81"/>
      <c r="G38" s="81"/>
      <c r="H38" s="81"/>
      <c r="I38" s="109"/>
      <c r="J38" s="111"/>
      <c r="K38" s="143"/>
    </row>
    <row r="39" spans="1:11" x14ac:dyDescent="0.2">
      <c r="A39" s="213" t="s">
        <v>613</v>
      </c>
      <c r="B39" s="208" t="s">
        <v>614</v>
      </c>
      <c r="C39" s="209"/>
      <c r="D39" s="214" t="s">
        <v>617</v>
      </c>
      <c r="E39" s="215"/>
      <c r="F39" s="81"/>
      <c r="G39" s="81"/>
      <c r="H39" s="81"/>
      <c r="I39" s="109"/>
      <c r="J39" s="111"/>
      <c r="K39" s="143"/>
    </row>
    <row r="40" spans="1:11" x14ac:dyDescent="0.2">
      <c r="A40" s="79" t="str">
        <f>A4</f>
        <v>APU</v>
      </c>
      <c r="B40" s="14">
        <f>SUMIF($A$4:$A$35,A40,$C$4:$C$35)</f>
        <v>262</v>
      </c>
      <c r="C40" s="75">
        <f t="shared" ref="C40:E48" si="2">B40/$C$1</f>
        <v>0.30045871559633025</v>
      </c>
      <c r="D40" s="225">
        <f>B40*$J$4/1000</f>
        <v>10.48</v>
      </c>
      <c r="E40" s="210">
        <f t="shared" si="2"/>
        <v>1.2018348623853212E-2</v>
      </c>
      <c r="F40" s="81"/>
      <c r="G40" s="81"/>
      <c r="H40" s="81"/>
    </row>
    <row r="41" spans="1:11" x14ac:dyDescent="0.2">
      <c r="A41" s="79" t="str">
        <f>A9</f>
        <v>Vitafit</v>
      </c>
      <c r="B41" s="14">
        <f>SUMIF($A$4:$A$35,A41,$C$4:$C$35)</f>
        <v>235</v>
      </c>
      <c r="C41" s="75">
        <f t="shared" si="2"/>
        <v>0.26949541284403672</v>
      </c>
      <c r="D41" s="225">
        <f t="shared" ref="D41:D48" si="3">B41*$J$4/1000</f>
        <v>9.4</v>
      </c>
      <c r="E41" s="210">
        <f t="shared" si="2"/>
        <v>1.0779816513761468E-2</v>
      </c>
      <c r="F41" s="81"/>
      <c r="G41" s="81"/>
      <c r="H41" s="81"/>
    </row>
    <row r="42" spans="1:11" x14ac:dyDescent="0.2">
      <c r="A42" s="79" t="str">
        <f>A21</f>
        <v>Vitsamo</v>
      </c>
      <c r="B42" s="14">
        <f>SUMIF($A$4:$A$35,A42,$C$4:$C$35)</f>
        <v>92</v>
      </c>
      <c r="C42" s="75">
        <f t="shared" si="2"/>
        <v>0.10550458715596331</v>
      </c>
      <c r="D42" s="225">
        <f t="shared" si="3"/>
        <v>3.68</v>
      </c>
      <c r="E42" s="210">
        <f t="shared" si="2"/>
        <v>4.2201834862385327E-3</v>
      </c>
      <c r="F42" s="81"/>
      <c r="G42" s="81"/>
      <c r="H42" s="81"/>
    </row>
    <row r="43" spans="1:11" x14ac:dyDescent="0.2">
      <c r="A43" s="79" t="str">
        <f>A25</f>
        <v>MonFresh</v>
      </c>
      <c r="B43" s="14">
        <f t="shared" ref="B43" si="4">SUMIF($A$4:$A$35,A43,$C$4:$C$35)</f>
        <v>58</v>
      </c>
      <c r="C43" s="75">
        <f t="shared" si="2"/>
        <v>6.6513761467889912E-2</v>
      </c>
      <c r="D43" s="225">
        <f t="shared" si="3"/>
        <v>2.3199999999999998</v>
      </c>
      <c r="E43" s="210">
        <f t="shared" si="2"/>
        <v>2.6605504587155961E-3</v>
      </c>
      <c r="F43" s="81"/>
      <c r="G43" s="81"/>
      <c r="H43" s="81"/>
    </row>
    <row r="44" spans="1:11" x14ac:dyDescent="0.2">
      <c r="A44" s="79" t="str">
        <f>A29</f>
        <v>MCS</v>
      </c>
      <c r="B44" s="14">
        <f>SUMIF($A$4:$A$35,A44,$C$4:$C$35)</f>
        <v>42</v>
      </c>
      <c r="C44" s="75">
        <f>B44/$C$1</f>
        <v>4.8165137614678902E-2</v>
      </c>
      <c r="D44" s="225">
        <f>B44*$J$4/1000</f>
        <v>1.68</v>
      </c>
      <c r="E44" s="210">
        <f>D44/$C$1</f>
        <v>1.926605504587156E-3</v>
      </c>
      <c r="F44" s="81"/>
      <c r="G44" s="81"/>
      <c r="H44" s="81"/>
    </row>
    <row r="45" spans="1:11" x14ac:dyDescent="0.2">
      <c r="A45" s="79" t="str">
        <f>A28</f>
        <v>Nomin Foods LLC</v>
      </c>
      <c r="B45" s="14">
        <f>SUMIF($A$4:$A$35,A45,$C$4:$C$35)</f>
        <v>44</v>
      </c>
      <c r="C45" s="75">
        <f t="shared" si="2"/>
        <v>5.0458715596330278E-2</v>
      </c>
      <c r="D45" s="225">
        <f t="shared" si="3"/>
        <v>1.76</v>
      </c>
      <c r="E45" s="210">
        <f t="shared" si="2"/>
        <v>2.0183486238532109E-3</v>
      </c>
      <c r="F45" s="81"/>
      <c r="G45" s="81"/>
      <c r="H45" s="81"/>
    </row>
    <row r="46" spans="1:11" x14ac:dyDescent="0.2">
      <c r="A46" s="79" t="str">
        <f>A33</f>
        <v>Suu LLC</v>
      </c>
      <c r="B46" s="14">
        <f>SUMIF($A$4:$A$35,A46,$C$4:$C$35)</f>
        <v>46</v>
      </c>
      <c r="C46" s="75">
        <f>B46/$C$1</f>
        <v>5.2752293577981654E-2</v>
      </c>
      <c r="D46" s="225">
        <f>B46*$J$4/1000</f>
        <v>1.84</v>
      </c>
      <c r="E46" s="210">
        <f>D46/$C$1</f>
        <v>2.1100917431192663E-3</v>
      </c>
      <c r="F46" s="81"/>
      <c r="G46" s="81"/>
      <c r="H46" s="81"/>
    </row>
    <row r="47" spans="1:11" x14ac:dyDescent="0.2">
      <c r="A47" s="79" t="str">
        <f>A30</f>
        <v>Teso</v>
      </c>
      <c r="B47" s="14">
        <f>SUMIF($A$4:$A$35,A47,$C$4:$C$35)</f>
        <v>33</v>
      </c>
      <c r="C47" s="75">
        <f t="shared" si="2"/>
        <v>3.7844036697247709E-2</v>
      </c>
      <c r="D47" s="225">
        <f t="shared" si="3"/>
        <v>1.32</v>
      </c>
      <c r="E47" s="210">
        <f t="shared" si="2"/>
        <v>1.5137614678899084E-3</v>
      </c>
      <c r="F47" s="81"/>
      <c r="G47" s="81"/>
      <c r="H47" s="81"/>
    </row>
    <row r="48" spans="1:11" ht="17" thickBot="1" x14ac:dyDescent="0.25">
      <c r="A48" s="211" t="s">
        <v>435</v>
      </c>
      <c r="B48" s="31">
        <f>SUMIF($A$4:$A$35,A48,$C$4:$C$35)</f>
        <v>60</v>
      </c>
      <c r="C48" s="85">
        <f t="shared" si="2"/>
        <v>6.8807339449541288E-2</v>
      </c>
      <c r="D48" s="224">
        <f t="shared" si="3"/>
        <v>2.4</v>
      </c>
      <c r="E48" s="212">
        <f t="shared" si="2"/>
        <v>2.7522935779816511E-3</v>
      </c>
      <c r="F48" s="81"/>
      <c r="G48" s="81"/>
      <c r="H48" s="81"/>
    </row>
    <row r="49" spans="1:11" x14ac:dyDescent="0.2">
      <c r="A49" s="83"/>
      <c r="B49" s="77">
        <f ca="1">SUM(B40:B49)-$C$1</f>
        <v>0</v>
      </c>
      <c r="C49" s="83"/>
      <c r="D49" s="77">
        <f>SUM(D40:D48)-E1</f>
        <v>0</v>
      </c>
      <c r="E49" s="269"/>
      <c r="F49" s="81"/>
      <c r="G49" s="81"/>
      <c r="H49" s="81"/>
    </row>
    <row r="50" spans="1:11" x14ac:dyDescent="0.2">
      <c r="A50" s="83"/>
      <c r="B50" s="83"/>
      <c r="C50" s="83"/>
      <c r="D50" s="80"/>
      <c r="E50" s="81"/>
      <c r="F50" s="81"/>
      <c r="G50" s="81"/>
      <c r="H50" s="81"/>
    </row>
    <row r="51" spans="1:11" x14ac:dyDescent="0.2">
      <c r="A51" s="76"/>
      <c r="B51" s="83"/>
      <c r="C51" s="78"/>
      <c r="D51" s="80"/>
      <c r="E51" s="81"/>
      <c r="F51" s="81"/>
      <c r="G51" s="81"/>
      <c r="H51" s="81"/>
    </row>
    <row r="52" spans="1:11" x14ac:dyDescent="0.2">
      <c r="A52" s="76"/>
      <c r="B52" s="82"/>
      <c r="C52" s="78"/>
      <c r="D52" s="80"/>
      <c r="E52" s="81"/>
      <c r="F52" s="81"/>
      <c r="G52" s="81"/>
      <c r="H52" s="81"/>
    </row>
    <row r="53" spans="1:11" x14ac:dyDescent="0.2">
      <c r="A53" s="76"/>
      <c r="B53" s="82"/>
      <c r="C53" s="78"/>
      <c r="D53" s="80"/>
      <c r="E53" s="81"/>
      <c r="F53" s="81"/>
      <c r="G53" s="81"/>
      <c r="H53" s="81"/>
    </row>
    <row r="54" spans="1:11" x14ac:dyDescent="0.2">
      <c r="A54" s="76"/>
      <c r="B54" s="83"/>
      <c r="C54" s="78"/>
      <c r="D54" s="80"/>
      <c r="E54" s="81"/>
      <c r="F54" s="81"/>
      <c r="G54" s="81"/>
      <c r="H54" s="81"/>
    </row>
    <row r="55" spans="1:11" x14ac:dyDescent="0.2">
      <c r="A55" s="76"/>
      <c r="B55" s="83"/>
      <c r="C55" s="78"/>
      <c r="D55" s="80"/>
      <c r="E55" s="81"/>
      <c r="F55" s="81"/>
      <c r="G55" s="81"/>
      <c r="H55" s="81"/>
    </row>
    <row r="56" spans="1:11" ht="17" thickBot="1" x14ac:dyDescent="0.25">
      <c r="A56" s="10"/>
      <c r="C56" s="6"/>
      <c r="D56" s="6"/>
    </row>
    <row r="57" spans="1:11" x14ac:dyDescent="0.2">
      <c r="A57" s="413" t="s">
        <v>126</v>
      </c>
      <c r="B57" s="414"/>
      <c r="C57" s="414"/>
      <c r="D57" s="414"/>
      <c r="E57" s="415"/>
      <c r="F57" s="81"/>
      <c r="G57" s="81"/>
      <c r="H57" s="81"/>
      <c r="I57" s="109"/>
      <c r="J57" s="111"/>
      <c r="K57" s="143"/>
    </row>
    <row r="58" spans="1:11" x14ac:dyDescent="0.2">
      <c r="A58" s="213" t="s">
        <v>1</v>
      </c>
      <c r="B58" s="208" t="s">
        <v>614</v>
      </c>
      <c r="C58" s="209"/>
      <c r="D58" s="214" t="s">
        <v>617</v>
      </c>
      <c r="E58" s="215"/>
      <c r="F58" s="81"/>
      <c r="G58" s="81"/>
      <c r="H58" s="81"/>
      <c r="I58" s="109"/>
      <c r="J58" s="111"/>
      <c r="K58" s="143"/>
    </row>
    <row r="59" spans="1:11" x14ac:dyDescent="0.2">
      <c r="A59" s="79" t="s">
        <v>34</v>
      </c>
      <c r="B59" s="14">
        <f>SUMIF($E$4:$E$36,A59,$C$4:$C$36)</f>
        <v>515</v>
      </c>
      <c r="C59" s="75">
        <f>B59/$C$1</f>
        <v>0.5905963302752294</v>
      </c>
      <c r="D59" s="225">
        <f t="shared" ref="D59:D61" si="5">B59*$J$4/1000</f>
        <v>20.6</v>
      </c>
      <c r="E59" s="210">
        <f>D59/$E$1</f>
        <v>0.5905963302752294</v>
      </c>
      <c r="F59" s="81"/>
      <c r="G59" s="81"/>
      <c r="H59" s="81"/>
    </row>
    <row r="60" spans="1:11" x14ac:dyDescent="0.2">
      <c r="A60" s="79" t="s">
        <v>39</v>
      </c>
      <c r="B60" s="14">
        <f>SUMIF($E$4:$E$36,A60,$C$4:$C$36)</f>
        <v>307</v>
      </c>
      <c r="C60" s="75">
        <f>B60/$C$1</f>
        <v>0.35206422018348627</v>
      </c>
      <c r="D60" s="225">
        <f t="shared" si="5"/>
        <v>12.28</v>
      </c>
      <c r="E60" s="210">
        <f>D60/$E$1</f>
        <v>0.35206422018348621</v>
      </c>
      <c r="F60" s="81"/>
      <c r="G60" s="81"/>
      <c r="H60" s="81"/>
    </row>
    <row r="61" spans="1:11" ht="17" thickBot="1" x14ac:dyDescent="0.25">
      <c r="A61" s="84" t="s">
        <v>385</v>
      </c>
      <c r="B61" s="31">
        <f>SUMIF($E$4:$E$36,A61,$C$4:$C$36)</f>
        <v>50</v>
      </c>
      <c r="C61" s="85">
        <f>B61/$C$1</f>
        <v>5.7339449541284407E-2</v>
      </c>
      <c r="D61" s="224">
        <f t="shared" si="5"/>
        <v>2</v>
      </c>
      <c r="E61" s="212">
        <f>D61/$E$1</f>
        <v>5.73394495412844E-2</v>
      </c>
      <c r="F61" s="81"/>
      <c r="G61" s="81"/>
      <c r="H61" s="81"/>
    </row>
    <row r="62" spans="1:11" x14ac:dyDescent="0.2">
      <c r="A62" s="76"/>
      <c r="B62" s="77">
        <f>SUM(B59:B61)-$C$1</f>
        <v>0</v>
      </c>
      <c r="C62" s="78"/>
      <c r="D62" s="226">
        <f>SUM(D59:D61)-$E$1</f>
        <v>0</v>
      </c>
      <c r="E62" s="81"/>
      <c r="F62" s="81"/>
      <c r="G62" s="81"/>
      <c r="H62" s="81"/>
    </row>
    <row r="63" spans="1:11" x14ac:dyDescent="0.2">
      <c r="A63" s="76"/>
      <c r="B63" s="82"/>
      <c r="C63" s="78"/>
      <c r="D63" s="80"/>
      <c r="E63" s="81"/>
      <c r="F63" s="81"/>
      <c r="G63" s="81"/>
      <c r="H63" s="81"/>
    </row>
    <row r="64" spans="1:11" x14ac:dyDescent="0.2">
      <c r="A64" s="76"/>
      <c r="B64" s="82"/>
      <c r="C64" s="78"/>
      <c r="D64" s="80"/>
      <c r="E64" s="81"/>
      <c r="F64" s="81"/>
      <c r="G64" s="81"/>
      <c r="H64" s="81"/>
    </row>
    <row r="65" spans="1:11" x14ac:dyDescent="0.2">
      <c r="A65" s="76"/>
      <c r="B65" s="82"/>
      <c r="C65" s="78"/>
      <c r="D65" s="80"/>
      <c r="E65" s="81"/>
      <c r="F65" s="81"/>
      <c r="G65" s="81"/>
      <c r="H65" s="81"/>
    </row>
    <row r="66" spans="1:11" x14ac:dyDescent="0.2">
      <c r="A66" s="76"/>
      <c r="B66" s="82"/>
      <c r="C66" s="78"/>
      <c r="D66" s="80"/>
      <c r="E66" s="81"/>
      <c r="F66" s="81"/>
      <c r="G66" s="81"/>
      <c r="H66" s="81"/>
    </row>
    <row r="67" spans="1:11" x14ac:dyDescent="0.2">
      <c r="A67" s="76"/>
      <c r="B67" s="82"/>
      <c r="C67" s="78"/>
      <c r="D67" s="80"/>
      <c r="E67" s="81"/>
      <c r="F67" s="81"/>
      <c r="G67" s="81"/>
      <c r="H67" s="81"/>
    </row>
    <row r="68" spans="1:11" x14ac:dyDescent="0.2">
      <c r="A68" s="76"/>
      <c r="B68" s="82"/>
      <c r="C68" s="78"/>
      <c r="D68" s="80"/>
      <c r="E68" s="81"/>
      <c r="F68" s="81"/>
      <c r="G68" s="81"/>
      <c r="H68" s="81"/>
    </row>
    <row r="69" spans="1:11" x14ac:dyDescent="0.2">
      <c r="A69" s="216"/>
      <c r="B69" s="83"/>
      <c r="C69" s="82"/>
      <c r="D69" s="80"/>
      <c r="E69" s="81"/>
      <c r="F69" s="81"/>
      <c r="G69" s="81"/>
      <c r="H69" s="81"/>
    </row>
    <row r="70" spans="1:11" x14ac:dyDescent="0.2">
      <c r="A70" s="216"/>
      <c r="B70" s="76"/>
      <c r="C70" s="82"/>
      <c r="D70" s="80"/>
      <c r="E70" s="81"/>
      <c r="F70" s="81"/>
      <c r="G70" s="81"/>
      <c r="H70" s="81"/>
    </row>
    <row r="71" spans="1:11" x14ac:dyDescent="0.2">
      <c r="A71" s="216"/>
      <c r="B71" s="76"/>
      <c r="C71" s="82"/>
      <c r="D71" s="80"/>
      <c r="E71" s="81"/>
      <c r="F71" s="81"/>
      <c r="G71" s="81"/>
      <c r="H71" s="81"/>
    </row>
    <row r="72" spans="1:11" x14ac:dyDescent="0.2">
      <c r="A72" s="216"/>
      <c r="B72" s="76"/>
      <c r="C72" s="82"/>
      <c r="D72" s="80"/>
      <c r="E72" s="81"/>
      <c r="F72" s="81"/>
      <c r="G72" s="81"/>
      <c r="H72" s="81"/>
    </row>
    <row r="73" spans="1:11" x14ac:dyDescent="0.2">
      <c r="A73" s="216"/>
      <c r="B73" s="76"/>
      <c r="C73" s="82"/>
      <c r="D73" s="80"/>
      <c r="E73" s="81"/>
      <c r="F73" s="81"/>
      <c r="G73" s="81"/>
      <c r="H73" s="81"/>
    </row>
    <row r="74" spans="1:11" x14ac:dyDescent="0.2">
      <c r="A74" s="216"/>
      <c r="B74" s="76"/>
      <c r="C74" s="82"/>
      <c r="D74" s="80"/>
      <c r="E74" s="81"/>
      <c r="F74" s="81"/>
      <c r="G74" s="81"/>
      <c r="H74" s="81"/>
    </row>
    <row r="75" spans="1:11" ht="17" thickBot="1" x14ac:dyDescent="0.25">
      <c r="A75" s="9"/>
      <c r="B75" s="11"/>
      <c r="C75" s="1"/>
      <c r="D75" s="6"/>
    </row>
    <row r="76" spans="1:11" x14ac:dyDescent="0.2">
      <c r="A76" s="413" t="s">
        <v>128</v>
      </c>
      <c r="B76" s="414"/>
      <c r="C76" s="414"/>
      <c r="D76" s="414"/>
      <c r="E76" s="415"/>
      <c r="F76" s="81"/>
      <c r="G76" s="81"/>
      <c r="H76" s="81"/>
      <c r="I76" s="109"/>
      <c r="J76" s="111"/>
      <c r="K76" s="143"/>
    </row>
    <row r="77" spans="1:11" x14ac:dyDescent="0.2">
      <c r="A77" s="213" t="s">
        <v>618</v>
      </c>
      <c r="B77" s="208" t="s">
        <v>614</v>
      </c>
      <c r="C77" s="209"/>
      <c r="D77" s="214" t="s">
        <v>617</v>
      </c>
      <c r="E77" s="215"/>
      <c r="F77" s="81"/>
      <c r="G77" s="81"/>
      <c r="H77" s="81"/>
      <c r="I77" s="109"/>
      <c r="J77" s="111"/>
      <c r="K77" s="143"/>
    </row>
    <row r="78" spans="1:11" x14ac:dyDescent="0.2">
      <c r="A78" s="79" t="s">
        <v>6</v>
      </c>
      <c r="B78" s="14">
        <f>SUMIF($G$4:$G$36,A78,$C$4:$C$36)</f>
        <v>726</v>
      </c>
      <c r="C78" s="75">
        <f>B78/$C$1</f>
        <v>0.83256880733944949</v>
      </c>
      <c r="D78" s="14">
        <f>B78*J4/1000</f>
        <v>29.04</v>
      </c>
      <c r="E78" s="210">
        <f>D78/$E$1</f>
        <v>0.83256880733944949</v>
      </c>
      <c r="F78" s="81"/>
      <c r="G78" s="81"/>
      <c r="H78" s="81"/>
    </row>
    <row r="79" spans="1:11" ht="17" thickBot="1" x14ac:dyDescent="0.25">
      <c r="A79" s="84" t="s">
        <v>7</v>
      </c>
      <c r="B79" s="31">
        <f>SUMIF($G$4:$G$36,A79,$C$4:$C$36)</f>
        <v>146</v>
      </c>
      <c r="C79" s="85">
        <f>B79/$C$1</f>
        <v>0.16743119266055045</v>
      </c>
      <c r="D79" s="31">
        <f>B79*J4/1000</f>
        <v>5.84</v>
      </c>
      <c r="E79" s="212">
        <f>D79/$E$1</f>
        <v>0.16743119266055045</v>
      </c>
      <c r="F79" s="81"/>
      <c r="G79" s="81"/>
      <c r="H79" s="81"/>
    </row>
    <row r="80" spans="1:11" x14ac:dyDescent="0.2">
      <c r="A80" s="76"/>
      <c r="B80" s="77">
        <f>B78+B79-$C$1</f>
        <v>0</v>
      </c>
      <c r="C80" s="82"/>
      <c r="D80" s="226">
        <f>D78+D79-$E$1</f>
        <v>0</v>
      </c>
      <c r="E80" s="82"/>
      <c r="F80" s="81"/>
      <c r="G80" s="81"/>
      <c r="H80" s="81"/>
    </row>
    <row r="81" spans="1:8" x14ac:dyDescent="0.2">
      <c r="A81" s="82"/>
      <c r="B81" s="82"/>
      <c r="C81" s="80"/>
      <c r="D81" s="80"/>
      <c r="E81" s="81"/>
      <c r="F81" s="81"/>
      <c r="G81" s="81"/>
      <c r="H81" s="81"/>
    </row>
    <row r="82" spans="1:8" x14ac:dyDescent="0.2">
      <c r="A82" s="82"/>
      <c r="B82" s="82"/>
      <c r="C82" s="80"/>
      <c r="D82" s="80"/>
      <c r="E82" s="81"/>
      <c r="F82" s="81"/>
      <c r="G82" s="81"/>
      <c r="H82" s="81"/>
    </row>
    <row r="83" spans="1:8" x14ac:dyDescent="0.2">
      <c r="A83" s="82"/>
      <c r="B83" s="82"/>
      <c r="C83" s="80"/>
      <c r="D83" s="80"/>
      <c r="E83" s="81"/>
      <c r="F83" s="81"/>
      <c r="G83" s="81"/>
      <c r="H83" s="81"/>
    </row>
    <row r="84" spans="1:8" x14ac:dyDescent="0.2">
      <c r="A84" s="82"/>
      <c r="B84" s="82"/>
      <c r="C84" s="80"/>
      <c r="D84" s="80"/>
      <c r="E84" s="81"/>
      <c r="F84" s="81"/>
      <c r="G84" s="81"/>
      <c r="H84" s="81"/>
    </row>
    <row r="85" spans="1:8" x14ac:dyDescent="0.2">
      <c r="A85" s="82"/>
      <c r="B85" s="82"/>
      <c r="C85" s="80"/>
      <c r="D85" s="80"/>
      <c r="E85" s="81"/>
      <c r="F85" s="81"/>
      <c r="G85" s="81"/>
      <c r="H85" s="81"/>
    </row>
    <row r="86" spans="1:8" x14ac:dyDescent="0.2">
      <c r="A86" s="82"/>
      <c r="B86" s="82"/>
      <c r="C86" s="80"/>
      <c r="D86" s="80"/>
      <c r="E86" s="81"/>
      <c r="F86" s="81"/>
      <c r="G86" s="81"/>
      <c r="H86" s="81"/>
    </row>
    <row r="87" spans="1:8" x14ac:dyDescent="0.2">
      <c r="A87" s="82"/>
      <c r="B87" s="82"/>
      <c r="C87" s="80"/>
      <c r="D87" s="80"/>
      <c r="E87" s="81"/>
      <c r="F87" s="81"/>
      <c r="G87" s="81"/>
      <c r="H87" s="81"/>
    </row>
    <row r="88" spans="1:8" x14ac:dyDescent="0.2">
      <c r="A88" s="82"/>
      <c r="B88" s="82"/>
      <c r="C88" s="80"/>
      <c r="D88" s="80"/>
      <c r="E88" s="81"/>
      <c r="F88" s="81"/>
      <c r="G88" s="81"/>
      <c r="H88" s="81"/>
    </row>
    <row r="89" spans="1:8" x14ac:dyDescent="0.2">
      <c r="A89" s="82"/>
      <c r="B89" s="82"/>
      <c r="C89" s="80"/>
      <c r="D89" s="80"/>
      <c r="E89" s="81"/>
      <c r="F89" s="81"/>
      <c r="G89" s="81"/>
      <c r="H89" s="81"/>
    </row>
    <row r="90" spans="1:8" x14ac:dyDescent="0.2">
      <c r="A90" s="82"/>
      <c r="B90" s="82"/>
      <c r="C90" s="80"/>
      <c r="D90" s="80"/>
      <c r="E90" s="81"/>
      <c r="F90" s="81"/>
      <c r="G90" s="81"/>
      <c r="H90" s="81"/>
    </row>
    <row r="91" spans="1:8" x14ac:dyDescent="0.2">
      <c r="A91" s="82"/>
      <c r="B91" s="82"/>
      <c r="C91" s="80"/>
      <c r="D91" s="80"/>
      <c r="E91" s="81"/>
      <c r="F91" s="81"/>
      <c r="G91" s="81"/>
      <c r="H91" s="81"/>
    </row>
    <row r="92" spans="1:8" x14ac:dyDescent="0.2">
      <c r="A92" s="82"/>
      <c r="B92" s="82"/>
      <c r="C92" s="80"/>
      <c r="D92" s="80"/>
      <c r="E92" s="81"/>
      <c r="F92" s="81"/>
      <c r="G92" s="81"/>
      <c r="H92" s="81"/>
    </row>
    <row r="93" spans="1:8" x14ac:dyDescent="0.2">
      <c r="A93" s="82"/>
      <c r="B93" s="82"/>
      <c r="C93" s="80"/>
      <c r="D93" s="80"/>
      <c r="E93" s="81"/>
      <c r="F93" s="81"/>
      <c r="G93" s="81"/>
      <c r="H93" s="81"/>
    </row>
    <row r="94" spans="1:8" x14ac:dyDescent="0.2">
      <c r="A94" s="82"/>
      <c r="B94" s="82"/>
      <c r="C94" s="80"/>
      <c r="D94" s="80"/>
      <c r="E94" s="81"/>
      <c r="F94" s="81"/>
      <c r="G94" s="81"/>
      <c r="H94" s="81"/>
    </row>
    <row r="95" spans="1:8" x14ac:dyDescent="0.2">
      <c r="A95" s="1"/>
      <c r="B95" s="1"/>
      <c r="C95" s="6"/>
      <c r="D95" s="6"/>
    </row>
    <row r="96" spans="1:8" ht="17" thickBot="1" x14ac:dyDescent="0.25">
      <c r="A96" s="1"/>
      <c r="B96" s="1"/>
      <c r="C96" s="6"/>
      <c r="D96" s="6"/>
    </row>
    <row r="97" spans="1:8" x14ac:dyDescent="0.2">
      <c r="A97" s="416" t="s">
        <v>619</v>
      </c>
      <c r="B97" s="417"/>
      <c r="C97" s="417"/>
      <c r="D97" s="417"/>
      <c r="E97" s="418"/>
      <c r="F97" s="81"/>
      <c r="G97" s="81"/>
      <c r="H97" s="81"/>
    </row>
    <row r="98" spans="1:8" x14ac:dyDescent="0.2">
      <c r="A98" s="213" t="s">
        <v>622</v>
      </c>
      <c r="B98" s="208" t="s">
        <v>614</v>
      </c>
      <c r="C98" s="209"/>
      <c r="D98" s="214" t="s">
        <v>617</v>
      </c>
      <c r="E98" s="215"/>
      <c r="F98" s="81"/>
      <c r="G98" s="81"/>
      <c r="H98" s="81"/>
    </row>
    <row r="99" spans="1:8" ht="17" thickBot="1" x14ac:dyDescent="0.25">
      <c r="A99" s="84" t="s">
        <v>441</v>
      </c>
      <c r="B99" s="31">
        <f>SUMIF($H$4:$H$35,A99,$C$4:$C$35)</f>
        <v>872</v>
      </c>
      <c r="C99" s="85">
        <f>B99/$C$1</f>
        <v>1</v>
      </c>
      <c r="D99" s="223">
        <f>SUMIF($H$4:$H$66,A99,$I$4:$I$66)</f>
        <v>34.879999999999995</v>
      </c>
      <c r="E99" s="212">
        <f>D99/$E$1</f>
        <v>0.99999999999999978</v>
      </c>
      <c r="F99" s="81"/>
      <c r="G99" s="81"/>
      <c r="H99" s="81"/>
    </row>
    <row r="100" spans="1:8" x14ac:dyDescent="0.2">
      <c r="A100" s="76"/>
      <c r="B100" s="262">
        <f>B99-C1</f>
        <v>0</v>
      </c>
      <c r="C100" s="82"/>
      <c r="D100" s="262">
        <f>D99-E1</f>
        <v>0</v>
      </c>
      <c r="E100" s="81"/>
      <c r="F100" s="81"/>
      <c r="G100" s="81"/>
      <c r="H100" s="81"/>
    </row>
    <row r="101" spans="1:8" x14ac:dyDescent="0.2">
      <c r="A101" s="82"/>
      <c r="B101" s="82"/>
      <c r="C101" s="80"/>
      <c r="D101" s="80"/>
      <c r="E101" s="81"/>
      <c r="F101" s="81"/>
      <c r="G101" s="81"/>
      <c r="H101" s="81"/>
    </row>
    <row r="102" spans="1:8" x14ac:dyDescent="0.2">
      <c r="A102" s="82"/>
      <c r="B102" s="82"/>
      <c r="C102" s="80"/>
      <c r="D102" s="80"/>
      <c r="E102" s="81"/>
      <c r="F102" s="81"/>
      <c r="G102" s="81"/>
      <c r="H102" s="81"/>
    </row>
    <row r="103" spans="1:8" x14ac:dyDescent="0.2">
      <c r="A103" s="82"/>
      <c r="B103" s="82"/>
      <c r="C103" s="80"/>
      <c r="D103" s="80"/>
      <c r="E103" s="81"/>
      <c r="F103" s="81"/>
      <c r="G103" s="81"/>
      <c r="H103" s="81"/>
    </row>
    <row r="104" spans="1:8" x14ac:dyDescent="0.2">
      <c r="A104" s="82"/>
      <c r="B104" s="82"/>
      <c r="C104" s="80"/>
      <c r="D104" s="80"/>
      <c r="E104" s="81"/>
      <c r="F104" s="81"/>
      <c r="G104" s="81"/>
      <c r="H104" s="81"/>
    </row>
    <row r="105" spans="1:8" x14ac:dyDescent="0.2">
      <c r="A105" s="82"/>
      <c r="B105" s="82"/>
      <c r="C105" s="80"/>
      <c r="D105" s="80"/>
      <c r="E105" s="81"/>
      <c r="F105" s="81"/>
      <c r="G105" s="81"/>
      <c r="H105" s="81"/>
    </row>
    <row r="106" spans="1:8" x14ac:dyDescent="0.2">
      <c r="A106" s="82"/>
      <c r="B106" s="82"/>
      <c r="C106" s="80"/>
      <c r="D106" s="80"/>
      <c r="E106" s="81"/>
      <c r="F106" s="81"/>
      <c r="G106" s="81"/>
      <c r="H106" s="81"/>
    </row>
    <row r="107" spans="1:8" x14ac:dyDescent="0.2">
      <c r="A107" s="82"/>
      <c r="B107" s="82"/>
      <c r="C107" s="80"/>
      <c r="D107" s="80"/>
      <c r="E107" s="81"/>
      <c r="F107" s="81"/>
      <c r="G107" s="81"/>
      <c r="H107" s="81"/>
    </row>
    <row r="108" spans="1:8" x14ac:dyDescent="0.2">
      <c r="A108" s="82"/>
      <c r="B108" s="82"/>
      <c r="C108" s="80"/>
      <c r="D108" s="80"/>
      <c r="E108" s="81"/>
      <c r="F108" s="81"/>
      <c r="G108" s="81"/>
      <c r="H108" s="81"/>
    </row>
    <row r="109" spans="1:8" x14ac:dyDescent="0.2">
      <c r="A109" s="82"/>
      <c r="B109" s="82"/>
      <c r="C109" s="80"/>
      <c r="D109" s="80"/>
      <c r="E109" s="81"/>
      <c r="F109" s="81"/>
      <c r="G109" s="81"/>
      <c r="H109" s="81"/>
    </row>
    <row r="110" spans="1:8" x14ac:dyDescent="0.2">
      <c r="A110" s="82"/>
      <c r="B110" s="82"/>
      <c r="C110" s="80"/>
      <c r="D110" s="80"/>
      <c r="E110" s="81"/>
      <c r="F110" s="81"/>
      <c r="G110" s="81"/>
      <c r="H110" s="81"/>
    </row>
    <row r="111" spans="1:8" x14ac:dyDescent="0.2">
      <c r="A111" s="82"/>
      <c r="B111" s="82"/>
      <c r="C111" s="80"/>
      <c r="D111" s="80"/>
      <c r="E111" s="81"/>
      <c r="F111" s="81"/>
      <c r="G111" s="81"/>
      <c r="H111" s="81"/>
    </row>
    <row r="112" spans="1:8" x14ac:dyDescent="0.2">
      <c r="A112" s="1"/>
      <c r="B112" s="1"/>
      <c r="C112" s="6"/>
      <c r="D112" s="6"/>
    </row>
    <row r="113" spans="1:4" x14ac:dyDescent="0.2">
      <c r="A113" s="1"/>
      <c r="B113" s="1"/>
      <c r="C113" s="6"/>
      <c r="D113" s="6"/>
    </row>
    <row r="114" spans="1:4" x14ac:dyDescent="0.2">
      <c r="A114" s="1"/>
      <c r="B114" s="1"/>
      <c r="C114" s="6"/>
      <c r="D114" s="6"/>
    </row>
  </sheetData>
  <mergeCells count="7">
    <mergeCell ref="A97:E97"/>
    <mergeCell ref="C3:D3"/>
    <mergeCell ref="C1:D1"/>
    <mergeCell ref="A38:E38"/>
    <mergeCell ref="J4:J35"/>
    <mergeCell ref="A57:E57"/>
    <mergeCell ref="A76:E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0275C-7644-B744-AB9D-EC9CBB497AF8}">
  <sheetPr>
    <tabColor rgb="FFC00000"/>
  </sheetPr>
  <dimension ref="A1:L161"/>
  <sheetViews>
    <sheetView zoomScaleNormal="100" workbookViewId="0"/>
  </sheetViews>
  <sheetFormatPr baseColWidth="10" defaultColWidth="10.6640625" defaultRowHeight="16" x14ac:dyDescent="0.2"/>
  <cols>
    <col min="1" max="1" width="26.33203125" customWidth="1"/>
    <col min="2" max="2" width="33.1640625" customWidth="1"/>
    <col min="3" max="4" width="7" customWidth="1"/>
    <col min="5" max="5" width="15.1640625" customWidth="1"/>
    <col min="6" max="6" width="11.83203125" customWidth="1"/>
    <col min="7" max="7" width="12" customWidth="1"/>
    <col min="8" max="8" width="18.83203125" customWidth="1"/>
    <col min="9" max="9" width="11.6640625" style="109" customWidth="1"/>
    <col min="10" max="10" width="11.6640625" style="111" customWidth="1"/>
    <col min="11" max="11" width="10.83203125" style="143"/>
    <col min="12" max="12" width="12.5" customWidth="1"/>
  </cols>
  <sheetData>
    <row r="1" spans="1:12" s="4" customFormat="1" ht="34" x14ac:dyDescent="0.4">
      <c r="A1" s="3" t="s">
        <v>0</v>
      </c>
      <c r="C1" s="420">
        <f>SUM(C4:C87)</f>
        <v>3095</v>
      </c>
      <c r="D1" s="420"/>
      <c r="E1" s="108">
        <f>SUM(I4:I87)</f>
        <v>1386.9990000000005</v>
      </c>
      <c r="F1" s="107" t="s">
        <v>236</v>
      </c>
      <c r="H1" s="141"/>
      <c r="I1" s="135">
        <f>E1-SUM(K4:K87)</f>
        <v>0</v>
      </c>
      <c r="J1" s="138"/>
      <c r="K1" s="142"/>
    </row>
    <row r="2" spans="1:12" ht="17" thickBot="1" x14ac:dyDescent="0.25">
      <c r="D2" s="8"/>
    </row>
    <row r="3" spans="1:12" s="1" customFormat="1" ht="34" customHeight="1" thickBot="1" x14ac:dyDescent="0.25">
      <c r="A3" s="71" t="s">
        <v>20</v>
      </c>
      <c r="B3" s="72" t="s">
        <v>2</v>
      </c>
      <c r="C3" s="419" t="s">
        <v>3</v>
      </c>
      <c r="D3" s="419"/>
      <c r="E3" s="72" t="s">
        <v>1</v>
      </c>
      <c r="F3" s="72" t="s">
        <v>186</v>
      </c>
      <c r="G3" s="72" t="s">
        <v>5</v>
      </c>
      <c r="H3" s="137" t="s">
        <v>16</v>
      </c>
      <c r="I3" s="342" t="s">
        <v>367</v>
      </c>
      <c r="J3" s="139" t="s">
        <v>368</v>
      </c>
      <c r="K3" s="144"/>
      <c r="L3" s="351"/>
    </row>
    <row r="4" spans="1:12" s="314" customFormat="1" x14ac:dyDescent="0.2">
      <c r="A4" s="90" t="s">
        <v>8</v>
      </c>
      <c r="B4" s="202" t="s">
        <v>301</v>
      </c>
      <c r="C4" s="186">
        <v>200</v>
      </c>
      <c r="D4" s="187">
        <f>C4/$C$1</f>
        <v>6.4620355411954766E-2</v>
      </c>
      <c r="E4" s="186" t="s">
        <v>299</v>
      </c>
      <c r="F4" s="186" t="s">
        <v>311</v>
      </c>
      <c r="G4" s="186" t="s">
        <v>6</v>
      </c>
      <c r="H4" s="186" t="s">
        <v>697</v>
      </c>
      <c r="I4" s="159">
        <f>C4*J4/1000</f>
        <v>102</v>
      </c>
      <c r="J4" s="160">
        <v>510</v>
      </c>
      <c r="K4" s="369">
        <f>J4*C4/1000</f>
        <v>102</v>
      </c>
      <c r="L4" s="370"/>
    </row>
    <row r="5" spans="1:12" s="314" customFormat="1" x14ac:dyDescent="0.2">
      <c r="A5" s="343" t="s">
        <v>8</v>
      </c>
      <c r="B5" s="91" t="s">
        <v>300</v>
      </c>
      <c r="C5" s="89">
        <v>248</v>
      </c>
      <c r="D5" s="88">
        <f>C5/$C$1</f>
        <v>8.0129240710823904E-2</v>
      </c>
      <c r="E5" s="89" t="s">
        <v>299</v>
      </c>
      <c r="F5" s="89" t="s">
        <v>311</v>
      </c>
      <c r="G5" s="89" t="s">
        <v>6</v>
      </c>
      <c r="H5" s="89" t="s">
        <v>697</v>
      </c>
      <c r="I5" s="161">
        <f t="shared" ref="I5:I81" si="0">C5*J5/1000</f>
        <v>96.72</v>
      </c>
      <c r="J5" s="162">
        <v>390</v>
      </c>
      <c r="K5" s="369">
        <f t="shared" ref="K5:K68" si="1">J5*C5/1000</f>
        <v>96.72</v>
      </c>
      <c r="L5" s="370"/>
    </row>
    <row r="6" spans="1:12" s="314" customFormat="1" x14ac:dyDescent="0.2">
      <c r="A6" s="343" t="s">
        <v>8</v>
      </c>
      <c r="B6" s="91" t="s">
        <v>302</v>
      </c>
      <c r="C6" s="89">
        <v>4</v>
      </c>
      <c r="D6" s="88">
        <f t="shared" ref="D6:D15" si="2">C6/$C$1</f>
        <v>1.2924071082390954E-3</v>
      </c>
      <c r="E6" s="89" t="s">
        <v>299</v>
      </c>
      <c r="F6" s="89" t="s">
        <v>311</v>
      </c>
      <c r="G6" s="89" t="s">
        <v>6</v>
      </c>
      <c r="H6" s="89" t="s">
        <v>459</v>
      </c>
      <c r="I6" s="161">
        <f t="shared" si="0"/>
        <v>0.96</v>
      </c>
      <c r="J6" s="162">
        <v>240</v>
      </c>
      <c r="K6" s="369">
        <f t="shared" si="1"/>
        <v>0.96</v>
      </c>
      <c r="L6" s="370"/>
    </row>
    <row r="7" spans="1:12" s="314" customFormat="1" x14ac:dyDescent="0.2">
      <c r="A7" s="343" t="s">
        <v>8</v>
      </c>
      <c r="B7" s="91" t="s">
        <v>303</v>
      </c>
      <c r="C7" s="89">
        <v>8</v>
      </c>
      <c r="D7" s="88">
        <f t="shared" ref="D7:D13" si="3">C7/$C$1</f>
        <v>2.5848142164781908E-3</v>
      </c>
      <c r="E7" s="89" t="s">
        <v>299</v>
      </c>
      <c r="F7" s="89" t="s">
        <v>311</v>
      </c>
      <c r="G7" s="89" t="s">
        <v>6</v>
      </c>
      <c r="H7" s="89" t="s">
        <v>459</v>
      </c>
      <c r="I7" s="161">
        <f t="shared" si="0"/>
        <v>1.1200000000000001</v>
      </c>
      <c r="J7" s="162">
        <v>140</v>
      </c>
      <c r="K7" s="369">
        <f t="shared" si="1"/>
        <v>1.1200000000000001</v>
      </c>
      <c r="L7" s="370"/>
    </row>
    <row r="8" spans="1:12" s="314" customFormat="1" x14ac:dyDescent="0.2">
      <c r="A8" s="343" t="s">
        <v>8</v>
      </c>
      <c r="B8" s="91" t="s">
        <v>304</v>
      </c>
      <c r="C8" s="89">
        <v>95</v>
      </c>
      <c r="D8" s="88">
        <f>C8/$C$1</f>
        <v>3.0694668820678513E-2</v>
      </c>
      <c r="E8" s="89" t="s">
        <v>299</v>
      </c>
      <c r="F8" s="89" t="s">
        <v>311</v>
      </c>
      <c r="G8" s="89" t="s">
        <v>6</v>
      </c>
      <c r="H8" s="89" t="s">
        <v>697</v>
      </c>
      <c r="I8" s="161">
        <f t="shared" si="0"/>
        <v>48.45</v>
      </c>
      <c r="J8" s="162">
        <v>510</v>
      </c>
      <c r="K8" s="369">
        <f t="shared" si="1"/>
        <v>48.45</v>
      </c>
      <c r="L8" s="370"/>
    </row>
    <row r="9" spans="1:12" s="314" customFormat="1" x14ac:dyDescent="0.2">
      <c r="A9" s="343" t="s">
        <v>8</v>
      </c>
      <c r="B9" s="91" t="s">
        <v>305</v>
      </c>
      <c r="C9" s="89">
        <v>231</v>
      </c>
      <c r="D9" s="88">
        <f>C9/$C$1</f>
        <v>7.463651050080776E-2</v>
      </c>
      <c r="E9" s="89" t="s">
        <v>299</v>
      </c>
      <c r="F9" s="89" t="s">
        <v>311</v>
      </c>
      <c r="G9" s="89" t="s">
        <v>6</v>
      </c>
      <c r="H9" s="89" t="s">
        <v>697</v>
      </c>
      <c r="I9" s="161">
        <f t="shared" si="0"/>
        <v>87.78</v>
      </c>
      <c r="J9" s="162">
        <v>380</v>
      </c>
      <c r="K9" s="369">
        <f t="shared" si="1"/>
        <v>87.78</v>
      </c>
      <c r="L9" s="370"/>
    </row>
    <row r="10" spans="1:12" s="314" customFormat="1" x14ac:dyDescent="0.2">
      <c r="A10" s="343" t="s">
        <v>8</v>
      </c>
      <c r="B10" s="91" t="s">
        <v>306</v>
      </c>
      <c r="C10" s="89">
        <v>8</v>
      </c>
      <c r="D10" s="88">
        <f>C10/$C$1</f>
        <v>2.5848142164781908E-3</v>
      </c>
      <c r="E10" s="89" t="s">
        <v>299</v>
      </c>
      <c r="F10" s="89" t="s">
        <v>311</v>
      </c>
      <c r="G10" s="89" t="s">
        <v>6</v>
      </c>
      <c r="H10" s="89" t="s">
        <v>697</v>
      </c>
      <c r="I10" s="161">
        <f t="shared" si="0"/>
        <v>2.3199999999999998</v>
      </c>
      <c r="J10" s="162">
        <v>290</v>
      </c>
      <c r="K10" s="369">
        <f t="shared" si="1"/>
        <v>2.3199999999999998</v>
      </c>
      <c r="L10" s="370"/>
    </row>
    <row r="11" spans="1:12" s="314" customFormat="1" x14ac:dyDescent="0.2">
      <c r="A11" s="343" t="s">
        <v>8</v>
      </c>
      <c r="B11" s="91" t="s">
        <v>307</v>
      </c>
      <c r="C11" s="89">
        <v>3</v>
      </c>
      <c r="D11" s="88">
        <f>C11/$C$1</f>
        <v>9.6930533117932144E-4</v>
      </c>
      <c r="E11" s="89" t="s">
        <v>299</v>
      </c>
      <c r="F11" s="89" t="s">
        <v>311</v>
      </c>
      <c r="G11" s="89" t="s">
        <v>6</v>
      </c>
      <c r="H11" s="89" t="s">
        <v>459</v>
      </c>
      <c r="I11" s="161">
        <f t="shared" si="0"/>
        <v>0.66</v>
      </c>
      <c r="J11" s="162">
        <v>220</v>
      </c>
      <c r="K11" s="369">
        <f t="shared" si="1"/>
        <v>0.66</v>
      </c>
      <c r="L11" s="370"/>
    </row>
    <row r="12" spans="1:12" s="314" customFormat="1" x14ac:dyDescent="0.2">
      <c r="A12" s="343" t="s">
        <v>8</v>
      </c>
      <c r="B12" s="91" t="s">
        <v>316</v>
      </c>
      <c r="C12" s="89">
        <v>234</v>
      </c>
      <c r="D12" s="88">
        <f t="shared" si="3"/>
        <v>7.5605815831987069E-2</v>
      </c>
      <c r="E12" s="89" t="s">
        <v>299</v>
      </c>
      <c r="F12" s="89" t="s">
        <v>311</v>
      </c>
      <c r="G12" s="89" t="s">
        <v>6</v>
      </c>
      <c r="H12" s="89" t="s">
        <v>697</v>
      </c>
      <c r="I12" s="161">
        <f t="shared" si="0"/>
        <v>145.08000000000001</v>
      </c>
      <c r="J12" s="162">
        <v>620</v>
      </c>
      <c r="K12" s="369">
        <f t="shared" si="1"/>
        <v>145.08000000000001</v>
      </c>
      <c r="L12" s="370"/>
    </row>
    <row r="13" spans="1:12" s="314" customFormat="1" x14ac:dyDescent="0.2">
      <c r="A13" s="343" t="s">
        <v>8</v>
      </c>
      <c r="B13" s="91" t="s">
        <v>317</v>
      </c>
      <c r="C13" s="89">
        <v>313</v>
      </c>
      <c r="D13" s="88">
        <f t="shared" si="3"/>
        <v>0.10113085621970921</v>
      </c>
      <c r="E13" s="89" t="s">
        <v>299</v>
      </c>
      <c r="F13" s="89" t="s">
        <v>311</v>
      </c>
      <c r="G13" s="89" t="s">
        <v>6</v>
      </c>
      <c r="H13" s="89" t="s">
        <v>697</v>
      </c>
      <c r="I13" s="161">
        <f t="shared" si="0"/>
        <v>140.85</v>
      </c>
      <c r="J13" s="162">
        <v>450</v>
      </c>
      <c r="K13" s="369">
        <f t="shared" si="1"/>
        <v>140.85</v>
      </c>
      <c r="L13" s="370"/>
    </row>
    <row r="14" spans="1:12" s="314" customFormat="1" x14ac:dyDescent="0.2">
      <c r="A14" s="343" t="s">
        <v>8</v>
      </c>
      <c r="B14" s="91" t="s">
        <v>318</v>
      </c>
      <c r="C14" s="89">
        <v>2</v>
      </c>
      <c r="D14" s="88">
        <f t="shared" si="2"/>
        <v>6.462035541195477E-4</v>
      </c>
      <c r="E14" s="89" t="s">
        <v>299</v>
      </c>
      <c r="F14" s="89" t="s">
        <v>311</v>
      </c>
      <c r="G14" s="89" t="s">
        <v>6</v>
      </c>
      <c r="H14" s="89" t="s">
        <v>697</v>
      </c>
      <c r="I14" s="161">
        <f t="shared" si="0"/>
        <v>0.72</v>
      </c>
      <c r="J14" s="162">
        <v>360</v>
      </c>
      <c r="K14" s="369">
        <f t="shared" si="1"/>
        <v>0.72</v>
      </c>
      <c r="L14" s="370"/>
    </row>
    <row r="15" spans="1:12" s="314" customFormat="1" x14ac:dyDescent="0.2">
      <c r="A15" s="343" t="s">
        <v>8</v>
      </c>
      <c r="B15" s="91" t="s">
        <v>319</v>
      </c>
      <c r="C15" s="89">
        <v>10</v>
      </c>
      <c r="D15" s="88">
        <f t="shared" si="2"/>
        <v>3.2310177705977385E-3</v>
      </c>
      <c r="E15" s="89" t="s">
        <v>299</v>
      </c>
      <c r="F15" s="89" t="s">
        <v>311</v>
      </c>
      <c r="G15" s="89" t="s">
        <v>6</v>
      </c>
      <c r="H15" s="89" t="s">
        <v>697</v>
      </c>
      <c r="I15" s="161">
        <f t="shared" si="0"/>
        <v>6.6</v>
      </c>
      <c r="J15" s="162">
        <v>660</v>
      </c>
      <c r="K15" s="369">
        <f t="shared" si="1"/>
        <v>6.6</v>
      </c>
      <c r="L15" s="370"/>
    </row>
    <row r="16" spans="1:12" s="314" customFormat="1" x14ac:dyDescent="0.2">
      <c r="A16" s="343" t="s">
        <v>8</v>
      </c>
      <c r="B16" s="91" t="s">
        <v>320</v>
      </c>
      <c r="C16" s="89">
        <v>13</v>
      </c>
      <c r="D16" s="88">
        <f t="shared" ref="D16:D18" si="4">C16/$C$1</f>
        <v>4.2003231017770596E-3</v>
      </c>
      <c r="E16" s="89" t="s">
        <v>299</v>
      </c>
      <c r="F16" s="89" t="s">
        <v>311</v>
      </c>
      <c r="G16" s="89" t="s">
        <v>6</v>
      </c>
      <c r="H16" s="89" t="s">
        <v>697</v>
      </c>
      <c r="I16" s="161">
        <f t="shared" si="0"/>
        <v>6.5</v>
      </c>
      <c r="J16" s="162">
        <v>500</v>
      </c>
      <c r="K16" s="369">
        <f t="shared" si="1"/>
        <v>6.5</v>
      </c>
      <c r="L16" s="370"/>
    </row>
    <row r="17" spans="1:12" s="314" customFormat="1" x14ac:dyDescent="0.2">
      <c r="A17" s="343" t="s">
        <v>8</v>
      </c>
      <c r="B17" s="91" t="s">
        <v>610</v>
      </c>
      <c r="C17" s="89">
        <v>1</v>
      </c>
      <c r="D17" s="88">
        <f t="shared" si="4"/>
        <v>3.2310177705977385E-4</v>
      </c>
      <c r="E17" s="89" t="s">
        <v>299</v>
      </c>
      <c r="F17" s="89" t="s">
        <v>311</v>
      </c>
      <c r="G17" s="89" t="s">
        <v>6</v>
      </c>
      <c r="H17" s="89" t="s">
        <v>459</v>
      </c>
      <c r="I17" s="161">
        <f t="shared" si="0"/>
        <v>0.97</v>
      </c>
      <c r="J17" s="162">
        <v>970</v>
      </c>
      <c r="K17" s="369">
        <f t="shared" si="1"/>
        <v>0.97</v>
      </c>
      <c r="L17" s="370"/>
    </row>
    <row r="18" spans="1:12" s="314" customFormat="1" x14ac:dyDescent="0.2">
      <c r="A18" s="343" t="s">
        <v>8</v>
      </c>
      <c r="B18" s="91" t="s">
        <v>324</v>
      </c>
      <c r="C18" s="89">
        <v>73</v>
      </c>
      <c r="D18" s="88">
        <f t="shared" si="4"/>
        <v>2.3586429725363491E-2</v>
      </c>
      <c r="E18" s="89" t="s">
        <v>299</v>
      </c>
      <c r="F18" s="89" t="s">
        <v>311</v>
      </c>
      <c r="G18" s="89" t="s">
        <v>6</v>
      </c>
      <c r="H18" s="89" t="s">
        <v>459</v>
      </c>
      <c r="I18" s="161">
        <f t="shared" si="0"/>
        <v>42.34</v>
      </c>
      <c r="J18" s="162">
        <v>580</v>
      </c>
      <c r="K18" s="369">
        <f t="shared" si="1"/>
        <v>42.34</v>
      </c>
      <c r="L18" s="370"/>
    </row>
    <row r="19" spans="1:12" s="314" customFormat="1" x14ac:dyDescent="0.2">
      <c r="A19" s="343" t="s">
        <v>8</v>
      </c>
      <c r="B19" s="91" t="s">
        <v>325</v>
      </c>
      <c r="C19" s="89">
        <f>96+16</f>
        <v>112</v>
      </c>
      <c r="D19" s="88">
        <f t="shared" ref="D19:D20" si="5">C19/$C$1</f>
        <v>3.6187399030694671E-2</v>
      </c>
      <c r="E19" s="89" t="s">
        <v>299</v>
      </c>
      <c r="F19" s="89" t="s">
        <v>311</v>
      </c>
      <c r="G19" s="89" t="s">
        <v>6</v>
      </c>
      <c r="H19" s="89" t="s">
        <v>459</v>
      </c>
      <c r="I19" s="161">
        <f t="shared" si="0"/>
        <v>48.16</v>
      </c>
      <c r="J19" s="162">
        <v>430</v>
      </c>
      <c r="K19" s="369">
        <f t="shared" si="1"/>
        <v>48.16</v>
      </c>
      <c r="L19" s="370"/>
    </row>
    <row r="20" spans="1:12" s="314" customFormat="1" x14ac:dyDescent="0.2">
      <c r="A20" s="343" t="s">
        <v>8</v>
      </c>
      <c r="B20" s="91" t="s">
        <v>326</v>
      </c>
      <c r="C20" s="89">
        <v>15</v>
      </c>
      <c r="D20" s="88">
        <f t="shared" si="5"/>
        <v>4.8465266558966073E-3</v>
      </c>
      <c r="E20" s="89" t="s">
        <v>299</v>
      </c>
      <c r="F20" s="89" t="s">
        <v>311</v>
      </c>
      <c r="G20" s="89" t="s">
        <v>6</v>
      </c>
      <c r="H20" s="89" t="s">
        <v>459</v>
      </c>
      <c r="I20" s="161">
        <f t="shared" si="0"/>
        <v>8.85</v>
      </c>
      <c r="J20" s="162">
        <v>590</v>
      </c>
      <c r="K20" s="369">
        <f t="shared" si="1"/>
        <v>8.85</v>
      </c>
      <c r="L20" s="370"/>
    </row>
    <row r="21" spans="1:12" s="314" customFormat="1" x14ac:dyDescent="0.2">
      <c r="A21" s="343" t="s">
        <v>8</v>
      </c>
      <c r="B21" s="91" t="s">
        <v>327</v>
      </c>
      <c r="C21" s="89">
        <v>35</v>
      </c>
      <c r="D21" s="88">
        <f t="shared" ref="D21:D23" si="6">C21/$C$1</f>
        <v>1.1308562197092083E-2</v>
      </c>
      <c r="E21" s="89" t="s">
        <v>299</v>
      </c>
      <c r="F21" s="89" t="s">
        <v>311</v>
      </c>
      <c r="G21" s="89" t="s">
        <v>6</v>
      </c>
      <c r="H21" s="89" t="s">
        <v>459</v>
      </c>
      <c r="I21" s="161">
        <f t="shared" si="0"/>
        <v>15.75</v>
      </c>
      <c r="J21" s="162">
        <v>450</v>
      </c>
      <c r="K21" s="369">
        <f t="shared" si="1"/>
        <v>15.75</v>
      </c>
      <c r="L21" s="370"/>
    </row>
    <row r="22" spans="1:12" s="314" customFormat="1" x14ac:dyDescent="0.2">
      <c r="A22" s="343" t="s">
        <v>8</v>
      </c>
      <c r="B22" s="91" t="s">
        <v>328</v>
      </c>
      <c r="C22" s="89">
        <v>35</v>
      </c>
      <c r="D22" s="88">
        <f t="shared" si="6"/>
        <v>1.1308562197092083E-2</v>
      </c>
      <c r="E22" s="89" t="s">
        <v>299</v>
      </c>
      <c r="F22" s="89" t="s">
        <v>311</v>
      </c>
      <c r="G22" s="89" t="s">
        <v>6</v>
      </c>
      <c r="H22" s="89" t="s">
        <v>459</v>
      </c>
      <c r="I22" s="161">
        <f t="shared" si="0"/>
        <v>27.65</v>
      </c>
      <c r="J22" s="162">
        <v>790</v>
      </c>
      <c r="K22" s="369">
        <f t="shared" si="1"/>
        <v>27.65</v>
      </c>
      <c r="L22" s="370"/>
    </row>
    <row r="23" spans="1:12" s="314" customFormat="1" x14ac:dyDescent="0.2">
      <c r="A23" s="343" t="s">
        <v>8</v>
      </c>
      <c r="B23" s="91" t="s">
        <v>672</v>
      </c>
      <c r="C23" s="89">
        <v>40</v>
      </c>
      <c r="D23" s="88">
        <f t="shared" si="6"/>
        <v>1.2924071082390954E-2</v>
      </c>
      <c r="E23" s="89" t="s">
        <v>299</v>
      </c>
      <c r="F23" s="89" t="s">
        <v>311</v>
      </c>
      <c r="G23" s="89" t="s">
        <v>6</v>
      </c>
      <c r="H23" s="89" t="s">
        <v>697</v>
      </c>
      <c r="I23" s="161">
        <f t="shared" si="0"/>
        <v>31.2</v>
      </c>
      <c r="J23" s="162">
        <v>780</v>
      </c>
      <c r="K23" s="369">
        <f t="shared" si="1"/>
        <v>31.2</v>
      </c>
      <c r="L23" s="370"/>
    </row>
    <row r="24" spans="1:12" s="314" customFormat="1" x14ac:dyDescent="0.2">
      <c r="A24" s="343" t="s">
        <v>8</v>
      </c>
      <c r="B24" s="91" t="s">
        <v>673</v>
      </c>
      <c r="C24" s="89">
        <v>60</v>
      </c>
      <c r="D24" s="88">
        <f t="shared" ref="D24:D26" si="7">C24/$C$1</f>
        <v>1.9386106623586429E-2</v>
      </c>
      <c r="E24" s="89" t="s">
        <v>299</v>
      </c>
      <c r="F24" s="89" t="s">
        <v>311</v>
      </c>
      <c r="G24" s="89" t="s">
        <v>6</v>
      </c>
      <c r="H24" s="89" t="s">
        <v>697</v>
      </c>
      <c r="I24" s="161">
        <f t="shared" si="0"/>
        <v>33</v>
      </c>
      <c r="J24" s="162">
        <v>550</v>
      </c>
      <c r="K24" s="369">
        <f t="shared" si="1"/>
        <v>33</v>
      </c>
      <c r="L24" s="370"/>
    </row>
    <row r="25" spans="1:12" s="314" customFormat="1" x14ac:dyDescent="0.2">
      <c r="A25" s="343" t="s">
        <v>8</v>
      </c>
      <c r="B25" s="91" t="s">
        <v>333</v>
      </c>
      <c r="C25" s="89">
        <v>14</v>
      </c>
      <c r="D25" s="88">
        <f t="shared" si="7"/>
        <v>4.5234248788368339E-3</v>
      </c>
      <c r="E25" s="89" t="s">
        <v>299</v>
      </c>
      <c r="F25" s="89" t="s">
        <v>311</v>
      </c>
      <c r="G25" s="89" t="s">
        <v>6</v>
      </c>
      <c r="H25" s="89" t="s">
        <v>459</v>
      </c>
      <c r="I25" s="161">
        <f t="shared" si="0"/>
        <v>12.32</v>
      </c>
      <c r="J25" s="162">
        <v>880</v>
      </c>
      <c r="K25" s="369">
        <f t="shared" si="1"/>
        <v>12.32</v>
      </c>
      <c r="L25" s="370"/>
    </row>
    <row r="26" spans="1:12" s="314" customFormat="1" x14ac:dyDescent="0.2">
      <c r="A26" s="343" t="s">
        <v>8</v>
      </c>
      <c r="B26" s="91" t="s">
        <v>332</v>
      </c>
      <c r="C26" s="89">
        <v>13</v>
      </c>
      <c r="D26" s="88">
        <f t="shared" si="7"/>
        <v>4.2003231017770596E-3</v>
      </c>
      <c r="E26" s="89" t="s">
        <v>299</v>
      </c>
      <c r="F26" s="89" t="s">
        <v>311</v>
      </c>
      <c r="G26" s="89" t="s">
        <v>6</v>
      </c>
      <c r="H26" s="89" t="s">
        <v>459</v>
      </c>
      <c r="I26" s="161">
        <f t="shared" si="0"/>
        <v>9.23</v>
      </c>
      <c r="J26" s="162">
        <v>710</v>
      </c>
      <c r="K26" s="369">
        <f t="shared" si="1"/>
        <v>9.23</v>
      </c>
      <c r="L26" s="370"/>
    </row>
    <row r="27" spans="1:12" s="314" customFormat="1" x14ac:dyDescent="0.2">
      <c r="A27" s="343" t="s">
        <v>8</v>
      </c>
      <c r="B27" s="91" t="s">
        <v>334</v>
      </c>
      <c r="C27" s="89">
        <v>42</v>
      </c>
      <c r="D27" s="88">
        <f t="shared" ref="D27:D31" si="8">C27/$C$1</f>
        <v>1.3570274636510501E-2</v>
      </c>
      <c r="E27" s="89" t="s">
        <v>4</v>
      </c>
      <c r="F27" s="89" t="s">
        <v>311</v>
      </c>
      <c r="G27" s="89" t="s">
        <v>6</v>
      </c>
      <c r="H27" s="89" t="s">
        <v>697</v>
      </c>
      <c r="I27" s="161">
        <f t="shared" si="0"/>
        <v>15.96</v>
      </c>
      <c r="J27" s="162">
        <v>380</v>
      </c>
      <c r="K27" s="369">
        <f t="shared" si="1"/>
        <v>15.96</v>
      </c>
      <c r="L27" s="370"/>
    </row>
    <row r="28" spans="1:12" s="314" customFormat="1" x14ac:dyDescent="0.2">
      <c r="A28" s="252" t="s">
        <v>8</v>
      </c>
      <c r="B28" s="371" t="s">
        <v>335</v>
      </c>
      <c r="C28" s="334">
        <v>10</v>
      </c>
      <c r="D28" s="372">
        <f t="shared" si="8"/>
        <v>3.2310177705977385E-3</v>
      </c>
      <c r="E28" s="334" t="s">
        <v>299</v>
      </c>
      <c r="F28" s="334" t="s">
        <v>311</v>
      </c>
      <c r="G28" s="334" t="s">
        <v>6</v>
      </c>
      <c r="H28" s="334" t="s">
        <v>459</v>
      </c>
      <c r="I28" s="165">
        <f t="shared" si="0"/>
        <v>5.4</v>
      </c>
      <c r="J28" s="166">
        <v>540</v>
      </c>
      <c r="K28" s="369">
        <f t="shared" si="1"/>
        <v>5.4</v>
      </c>
      <c r="L28" s="370"/>
    </row>
    <row r="29" spans="1:12" s="314" customFormat="1" x14ac:dyDescent="0.2">
      <c r="A29" s="343" t="s">
        <v>8</v>
      </c>
      <c r="B29" s="91" t="s">
        <v>336</v>
      </c>
      <c r="C29" s="89">
        <v>3</v>
      </c>
      <c r="D29" s="88">
        <f t="shared" si="8"/>
        <v>9.6930533117932144E-4</v>
      </c>
      <c r="E29" s="89" t="s">
        <v>299</v>
      </c>
      <c r="F29" s="89" t="s">
        <v>311</v>
      </c>
      <c r="G29" s="89" t="s">
        <v>6</v>
      </c>
      <c r="H29" s="89" t="s">
        <v>459</v>
      </c>
      <c r="I29" s="161">
        <f t="shared" si="0"/>
        <v>2.0699999999999998</v>
      </c>
      <c r="J29" s="162">
        <v>690</v>
      </c>
      <c r="K29" s="369">
        <f t="shared" si="1"/>
        <v>2.0699999999999998</v>
      </c>
      <c r="L29" s="370"/>
    </row>
    <row r="30" spans="1:12" s="314" customFormat="1" x14ac:dyDescent="0.2">
      <c r="A30" s="343" t="s">
        <v>8</v>
      </c>
      <c r="B30" s="91" t="s">
        <v>337</v>
      </c>
      <c r="C30" s="89">
        <v>1</v>
      </c>
      <c r="D30" s="88">
        <f t="shared" si="8"/>
        <v>3.2310177705977385E-4</v>
      </c>
      <c r="E30" s="89" t="s">
        <v>299</v>
      </c>
      <c r="F30" s="89" t="s">
        <v>311</v>
      </c>
      <c r="G30" s="89" t="s">
        <v>6</v>
      </c>
      <c r="H30" s="89" t="s">
        <v>459</v>
      </c>
      <c r="I30" s="161">
        <f t="shared" si="0"/>
        <v>0.44</v>
      </c>
      <c r="J30" s="162">
        <v>440</v>
      </c>
      <c r="K30" s="369">
        <f t="shared" si="1"/>
        <v>0.44</v>
      </c>
      <c r="L30" s="370"/>
    </row>
    <row r="31" spans="1:12" s="314" customFormat="1" x14ac:dyDescent="0.2">
      <c r="A31" s="343" t="s">
        <v>8</v>
      </c>
      <c r="B31" s="91" t="s">
        <v>338</v>
      </c>
      <c r="C31" s="89">
        <v>4</v>
      </c>
      <c r="D31" s="88">
        <f t="shared" si="8"/>
        <v>1.2924071082390954E-3</v>
      </c>
      <c r="E31" s="89" t="s">
        <v>299</v>
      </c>
      <c r="F31" s="89" t="s">
        <v>311</v>
      </c>
      <c r="G31" s="89" t="s">
        <v>6</v>
      </c>
      <c r="H31" s="89" t="s">
        <v>459</v>
      </c>
      <c r="I31" s="161">
        <f t="shared" si="0"/>
        <v>4.4000000000000004</v>
      </c>
      <c r="J31" s="162">
        <v>1100</v>
      </c>
      <c r="K31" s="369">
        <f t="shared" si="1"/>
        <v>4.4000000000000004</v>
      </c>
      <c r="L31" s="370"/>
    </row>
    <row r="32" spans="1:12" s="314" customFormat="1" x14ac:dyDescent="0.2">
      <c r="A32" s="373" t="s">
        <v>8</v>
      </c>
      <c r="B32" s="304" t="s">
        <v>339</v>
      </c>
      <c r="C32" s="362">
        <v>1</v>
      </c>
      <c r="D32" s="374">
        <f t="shared" ref="D32:D34" si="9">C32/$C$1</f>
        <v>3.2310177705977385E-4</v>
      </c>
      <c r="E32" s="362" t="s">
        <v>299</v>
      </c>
      <c r="F32" s="362" t="s">
        <v>311</v>
      </c>
      <c r="G32" s="362" t="s">
        <v>6</v>
      </c>
      <c r="H32" s="362" t="s">
        <v>697</v>
      </c>
      <c r="I32" s="177">
        <f t="shared" si="0"/>
        <v>0.45</v>
      </c>
      <c r="J32" s="178">
        <v>450</v>
      </c>
      <c r="K32" s="369">
        <f t="shared" si="1"/>
        <v>0.45</v>
      </c>
      <c r="L32" s="370"/>
    </row>
    <row r="33" spans="1:12" s="314" customFormat="1" x14ac:dyDescent="0.2">
      <c r="A33" s="343" t="s">
        <v>8</v>
      </c>
      <c r="B33" s="91" t="s">
        <v>340</v>
      </c>
      <c r="C33" s="89">
        <v>2</v>
      </c>
      <c r="D33" s="88">
        <f t="shared" si="9"/>
        <v>6.462035541195477E-4</v>
      </c>
      <c r="E33" s="89" t="s">
        <v>299</v>
      </c>
      <c r="F33" s="89" t="s">
        <v>311</v>
      </c>
      <c r="G33" s="89" t="s">
        <v>6</v>
      </c>
      <c r="H33" s="89" t="s">
        <v>459</v>
      </c>
      <c r="I33" s="161">
        <f t="shared" si="0"/>
        <v>2.2999999999999998</v>
      </c>
      <c r="J33" s="162">
        <v>1150</v>
      </c>
      <c r="K33" s="369">
        <f t="shared" si="1"/>
        <v>2.2999999999999998</v>
      </c>
      <c r="L33" s="370"/>
    </row>
    <row r="34" spans="1:12" s="314" customFormat="1" x14ac:dyDescent="0.2">
      <c r="A34" s="343" t="s">
        <v>8</v>
      </c>
      <c r="B34" s="91" t="s">
        <v>341</v>
      </c>
      <c r="C34" s="89">
        <v>2</v>
      </c>
      <c r="D34" s="88">
        <f t="shared" si="9"/>
        <v>6.462035541195477E-4</v>
      </c>
      <c r="E34" s="89" t="s">
        <v>299</v>
      </c>
      <c r="F34" s="89" t="s">
        <v>311</v>
      </c>
      <c r="G34" s="89" t="s">
        <v>6</v>
      </c>
      <c r="H34" s="89" t="s">
        <v>459</v>
      </c>
      <c r="I34" s="161">
        <f t="shared" si="0"/>
        <v>1.92</v>
      </c>
      <c r="J34" s="162">
        <v>960</v>
      </c>
      <c r="K34" s="369">
        <f t="shared" si="1"/>
        <v>1.92</v>
      </c>
      <c r="L34" s="370"/>
    </row>
    <row r="35" spans="1:12" s="314" customFormat="1" x14ac:dyDescent="0.2">
      <c r="A35" s="343" t="s">
        <v>8</v>
      </c>
      <c r="B35" s="91" t="s">
        <v>342</v>
      </c>
      <c r="C35" s="89">
        <v>2</v>
      </c>
      <c r="D35" s="88">
        <f t="shared" ref="D35:D38" si="10">C35/$C$1</f>
        <v>6.462035541195477E-4</v>
      </c>
      <c r="E35" s="89" t="s">
        <v>299</v>
      </c>
      <c r="F35" s="89" t="s">
        <v>311</v>
      </c>
      <c r="G35" s="89" t="s">
        <v>6</v>
      </c>
      <c r="H35" s="89" t="s">
        <v>459</v>
      </c>
      <c r="I35" s="161">
        <f t="shared" si="0"/>
        <v>1.84</v>
      </c>
      <c r="J35" s="162">
        <v>920</v>
      </c>
      <c r="K35" s="369">
        <f t="shared" si="1"/>
        <v>1.84</v>
      </c>
      <c r="L35" s="370"/>
    </row>
    <row r="36" spans="1:12" s="314" customFormat="1" x14ac:dyDescent="0.2">
      <c r="A36" s="343" t="s">
        <v>8</v>
      </c>
      <c r="B36" s="91" t="s">
        <v>343</v>
      </c>
      <c r="C36" s="89">
        <v>1</v>
      </c>
      <c r="D36" s="88">
        <f t="shared" si="10"/>
        <v>3.2310177705977385E-4</v>
      </c>
      <c r="E36" s="89" t="s">
        <v>299</v>
      </c>
      <c r="F36" s="89" t="s">
        <v>311</v>
      </c>
      <c r="G36" s="89" t="s">
        <v>6</v>
      </c>
      <c r="H36" s="89" t="s">
        <v>459</v>
      </c>
      <c r="I36" s="161">
        <f t="shared" si="0"/>
        <v>0.72</v>
      </c>
      <c r="J36" s="162">
        <v>720</v>
      </c>
      <c r="K36" s="369">
        <f t="shared" si="1"/>
        <v>0.72</v>
      </c>
      <c r="L36" s="370"/>
    </row>
    <row r="37" spans="1:12" s="314" customFormat="1" x14ac:dyDescent="0.2">
      <c r="A37" s="343" t="s">
        <v>8</v>
      </c>
      <c r="B37" s="91" t="s">
        <v>344</v>
      </c>
      <c r="C37" s="89">
        <v>3</v>
      </c>
      <c r="D37" s="88">
        <f t="shared" si="10"/>
        <v>9.6930533117932144E-4</v>
      </c>
      <c r="E37" s="89" t="s">
        <v>299</v>
      </c>
      <c r="F37" s="89" t="s">
        <v>311</v>
      </c>
      <c r="G37" s="89" t="s">
        <v>6</v>
      </c>
      <c r="H37" s="89" t="s">
        <v>459</v>
      </c>
      <c r="I37" s="161">
        <f t="shared" si="0"/>
        <v>2.19</v>
      </c>
      <c r="J37" s="162">
        <v>730</v>
      </c>
      <c r="K37" s="369">
        <f t="shared" si="1"/>
        <v>2.19</v>
      </c>
      <c r="L37" s="370"/>
    </row>
    <row r="38" spans="1:12" s="314" customFormat="1" ht="17" thickBot="1" x14ac:dyDescent="0.25">
      <c r="A38" s="373" t="s">
        <v>8</v>
      </c>
      <c r="B38" s="304" t="s">
        <v>345</v>
      </c>
      <c r="C38" s="362">
        <v>3</v>
      </c>
      <c r="D38" s="374">
        <f t="shared" si="10"/>
        <v>9.6930533117932144E-4</v>
      </c>
      <c r="E38" s="362" t="s">
        <v>299</v>
      </c>
      <c r="F38" s="362" t="s">
        <v>311</v>
      </c>
      <c r="G38" s="362" t="s">
        <v>6</v>
      </c>
      <c r="H38" s="362" t="s">
        <v>459</v>
      </c>
      <c r="I38" s="177">
        <f t="shared" si="0"/>
        <v>1.74</v>
      </c>
      <c r="J38" s="178">
        <v>580</v>
      </c>
      <c r="K38" s="369">
        <f t="shared" si="1"/>
        <v>1.74</v>
      </c>
      <c r="L38" s="370"/>
    </row>
    <row r="39" spans="1:12" s="314" customFormat="1" x14ac:dyDescent="0.2">
      <c r="A39" s="90" t="s">
        <v>298</v>
      </c>
      <c r="B39" s="202" t="s">
        <v>312</v>
      </c>
      <c r="C39" s="186">
        <v>156</v>
      </c>
      <c r="D39" s="187">
        <f>C39/$C$1</f>
        <v>5.0403877221324715E-2</v>
      </c>
      <c r="E39" s="186" t="s">
        <v>4</v>
      </c>
      <c r="F39" s="186" t="s">
        <v>311</v>
      </c>
      <c r="G39" s="186" t="s">
        <v>6</v>
      </c>
      <c r="H39" s="186" t="s">
        <v>697</v>
      </c>
      <c r="I39" s="159">
        <f t="shared" si="0"/>
        <v>60.84</v>
      </c>
      <c r="J39" s="160">
        <v>390</v>
      </c>
      <c r="K39" s="369">
        <f t="shared" si="1"/>
        <v>60.84</v>
      </c>
    </row>
    <row r="40" spans="1:12" s="314" customFormat="1" x14ac:dyDescent="0.2">
      <c r="A40" s="343" t="s">
        <v>298</v>
      </c>
      <c r="B40" s="91" t="s">
        <v>313</v>
      </c>
      <c r="C40" s="89">
        <v>28</v>
      </c>
      <c r="D40" s="88">
        <f t="shared" ref="D40:D46" si="11">C40/$C$1</f>
        <v>9.0468497576736678E-3</v>
      </c>
      <c r="E40" s="89" t="s">
        <v>4</v>
      </c>
      <c r="F40" s="89" t="s">
        <v>311</v>
      </c>
      <c r="G40" s="89" t="s">
        <v>6</v>
      </c>
      <c r="H40" s="89" t="s">
        <v>697</v>
      </c>
      <c r="I40" s="161">
        <f t="shared" si="0"/>
        <v>8.4</v>
      </c>
      <c r="J40" s="162">
        <v>300</v>
      </c>
      <c r="K40" s="369">
        <f t="shared" si="1"/>
        <v>8.4</v>
      </c>
    </row>
    <row r="41" spans="1:12" s="314" customFormat="1" x14ac:dyDescent="0.2">
      <c r="A41" s="343" t="s">
        <v>298</v>
      </c>
      <c r="B41" s="91" t="s">
        <v>369</v>
      </c>
      <c r="C41" s="89">
        <v>2</v>
      </c>
      <c r="D41" s="88">
        <f t="shared" si="11"/>
        <v>6.462035541195477E-4</v>
      </c>
      <c r="E41" s="89" t="s">
        <v>299</v>
      </c>
      <c r="F41" s="89" t="s">
        <v>311</v>
      </c>
      <c r="G41" s="89" t="s">
        <v>6</v>
      </c>
      <c r="H41" s="89" t="s">
        <v>697</v>
      </c>
      <c r="I41" s="161">
        <f t="shared" ref="I41:I42" si="12">C41*J41/1000</f>
        <v>2.1</v>
      </c>
      <c r="J41" s="162">
        <v>1050</v>
      </c>
      <c r="K41" s="369">
        <f t="shared" si="1"/>
        <v>2.1</v>
      </c>
    </row>
    <row r="42" spans="1:12" s="314" customFormat="1" x14ac:dyDescent="0.2">
      <c r="A42" s="343" t="s">
        <v>298</v>
      </c>
      <c r="B42" s="91" t="s">
        <v>372</v>
      </c>
      <c r="C42" s="89">
        <v>4</v>
      </c>
      <c r="D42" s="88">
        <f t="shared" si="11"/>
        <v>1.2924071082390954E-3</v>
      </c>
      <c r="E42" s="89" t="s">
        <v>299</v>
      </c>
      <c r="F42" s="89" t="s">
        <v>311</v>
      </c>
      <c r="G42" s="89" t="s">
        <v>6</v>
      </c>
      <c r="H42" s="89" t="s">
        <v>697</v>
      </c>
      <c r="I42" s="161">
        <f t="shared" si="12"/>
        <v>3.84</v>
      </c>
      <c r="J42" s="162">
        <v>960</v>
      </c>
      <c r="K42" s="369">
        <f t="shared" si="1"/>
        <v>3.84</v>
      </c>
    </row>
    <row r="43" spans="1:12" s="314" customFormat="1" x14ac:dyDescent="0.2">
      <c r="A43" s="343" t="s">
        <v>298</v>
      </c>
      <c r="B43" s="91" t="s">
        <v>314</v>
      </c>
      <c r="C43" s="89">
        <v>88</v>
      </c>
      <c r="D43" s="88">
        <f t="shared" ref="D43:D44" si="13">C43/$C$1</f>
        <v>2.8432956381260095E-2</v>
      </c>
      <c r="E43" s="89" t="s">
        <v>299</v>
      </c>
      <c r="F43" s="89" t="s">
        <v>311</v>
      </c>
      <c r="G43" s="89" t="s">
        <v>6</v>
      </c>
      <c r="H43" s="89" t="s">
        <v>697</v>
      </c>
      <c r="I43" s="161">
        <f t="shared" si="0"/>
        <v>70.400000000000006</v>
      </c>
      <c r="J43" s="162">
        <v>800</v>
      </c>
      <c r="K43" s="369">
        <f t="shared" si="1"/>
        <v>70.400000000000006</v>
      </c>
    </row>
    <row r="44" spans="1:12" s="314" customFormat="1" x14ac:dyDescent="0.2">
      <c r="A44" s="343" t="s">
        <v>298</v>
      </c>
      <c r="B44" s="91" t="s">
        <v>315</v>
      </c>
      <c r="C44" s="89">
        <v>85</v>
      </c>
      <c r="D44" s="88">
        <f t="shared" si="13"/>
        <v>2.7463651050080775E-2</v>
      </c>
      <c r="E44" s="89" t="s">
        <v>299</v>
      </c>
      <c r="F44" s="89" t="s">
        <v>311</v>
      </c>
      <c r="G44" s="89" t="s">
        <v>6</v>
      </c>
      <c r="H44" s="89" t="s">
        <v>697</v>
      </c>
      <c r="I44" s="161">
        <f t="shared" si="0"/>
        <v>51.85</v>
      </c>
      <c r="J44" s="162">
        <v>610</v>
      </c>
      <c r="K44" s="369">
        <f t="shared" si="1"/>
        <v>51.85</v>
      </c>
    </row>
    <row r="45" spans="1:12" s="314" customFormat="1" x14ac:dyDescent="0.2">
      <c r="A45" s="343" t="s">
        <v>298</v>
      </c>
      <c r="B45" s="91" t="s">
        <v>308</v>
      </c>
      <c r="C45" s="89">
        <v>36</v>
      </c>
      <c r="D45" s="88">
        <f t="shared" si="11"/>
        <v>1.1631663974151859E-2</v>
      </c>
      <c r="E45" s="89" t="s">
        <v>299</v>
      </c>
      <c r="F45" s="89" t="s">
        <v>311</v>
      </c>
      <c r="G45" s="89" t="s">
        <v>6</v>
      </c>
      <c r="H45" s="89" t="s">
        <v>697</v>
      </c>
      <c r="I45" s="161">
        <f t="shared" si="0"/>
        <v>20.16</v>
      </c>
      <c r="J45" s="162">
        <v>560</v>
      </c>
      <c r="K45" s="369">
        <f t="shared" si="1"/>
        <v>20.16</v>
      </c>
    </row>
    <row r="46" spans="1:12" s="314" customFormat="1" x14ac:dyDescent="0.2">
      <c r="A46" s="343" t="s">
        <v>298</v>
      </c>
      <c r="B46" s="91" t="s">
        <v>309</v>
      </c>
      <c r="C46" s="89">
        <v>38</v>
      </c>
      <c r="D46" s="88">
        <f t="shared" si="11"/>
        <v>1.2277867528271405E-2</v>
      </c>
      <c r="E46" s="89" t="s">
        <v>299</v>
      </c>
      <c r="F46" s="89" t="s">
        <v>311</v>
      </c>
      <c r="G46" s="89" t="s">
        <v>6</v>
      </c>
      <c r="H46" s="89" t="s">
        <v>697</v>
      </c>
      <c r="I46" s="161">
        <f t="shared" si="0"/>
        <v>15.96</v>
      </c>
      <c r="J46" s="162">
        <v>420</v>
      </c>
      <c r="K46" s="369">
        <f t="shared" si="1"/>
        <v>15.96</v>
      </c>
    </row>
    <row r="47" spans="1:12" s="314" customFormat="1" x14ac:dyDescent="0.2">
      <c r="A47" s="343" t="s">
        <v>298</v>
      </c>
      <c r="B47" s="91" t="s">
        <v>310</v>
      </c>
      <c r="C47" s="89">
        <v>2</v>
      </c>
      <c r="D47" s="88">
        <f t="shared" ref="D47:D49" si="14">C47/$C$1</f>
        <v>6.462035541195477E-4</v>
      </c>
      <c r="E47" s="89" t="s">
        <v>299</v>
      </c>
      <c r="F47" s="89" t="s">
        <v>311</v>
      </c>
      <c r="G47" s="89" t="s">
        <v>6</v>
      </c>
      <c r="H47" s="89" t="s">
        <v>697</v>
      </c>
      <c r="I47" s="161">
        <f t="shared" si="0"/>
        <v>0.64</v>
      </c>
      <c r="J47" s="162">
        <v>320</v>
      </c>
      <c r="K47" s="369">
        <f t="shared" si="1"/>
        <v>0.64</v>
      </c>
    </row>
    <row r="48" spans="1:12" s="314" customFormat="1" x14ac:dyDescent="0.2">
      <c r="A48" s="343" t="s">
        <v>298</v>
      </c>
      <c r="B48" s="91" t="s">
        <v>321</v>
      </c>
      <c r="C48" s="89">
        <v>1</v>
      </c>
      <c r="D48" s="88">
        <f t="shared" si="14"/>
        <v>3.2310177705977385E-4</v>
      </c>
      <c r="E48" s="89" t="s">
        <v>299</v>
      </c>
      <c r="F48" s="89" t="s">
        <v>311</v>
      </c>
      <c r="G48" s="89" t="s">
        <v>6</v>
      </c>
      <c r="H48" s="89" t="s">
        <v>697</v>
      </c>
      <c r="I48" s="161">
        <f t="shared" si="0"/>
        <v>0.65</v>
      </c>
      <c r="J48" s="162">
        <v>650</v>
      </c>
      <c r="K48" s="369">
        <f t="shared" si="1"/>
        <v>0.65</v>
      </c>
    </row>
    <row r="49" spans="1:11" s="314" customFormat="1" x14ac:dyDescent="0.2">
      <c r="A49" s="343" t="s">
        <v>298</v>
      </c>
      <c r="B49" s="91" t="s">
        <v>322</v>
      </c>
      <c r="C49" s="89">
        <v>16</v>
      </c>
      <c r="D49" s="88">
        <f t="shared" si="14"/>
        <v>5.1696284329563816E-3</v>
      </c>
      <c r="E49" s="89" t="s">
        <v>299</v>
      </c>
      <c r="F49" s="89" t="s">
        <v>311</v>
      </c>
      <c r="G49" s="89" t="s">
        <v>6</v>
      </c>
      <c r="H49" s="89" t="s">
        <v>697</v>
      </c>
      <c r="I49" s="161">
        <f t="shared" si="0"/>
        <v>8.8000000000000007</v>
      </c>
      <c r="J49" s="162">
        <v>550</v>
      </c>
      <c r="K49" s="369">
        <f t="shared" si="1"/>
        <v>8.8000000000000007</v>
      </c>
    </row>
    <row r="50" spans="1:11" s="314" customFormat="1" x14ac:dyDescent="0.2">
      <c r="A50" s="343" t="s">
        <v>298</v>
      </c>
      <c r="B50" s="91" t="s">
        <v>323</v>
      </c>
      <c r="C50" s="89">
        <v>8</v>
      </c>
      <c r="D50" s="88">
        <f t="shared" ref="D50:D55" si="15">C50/$C$1</f>
        <v>2.5848142164781908E-3</v>
      </c>
      <c r="E50" s="89" t="s">
        <v>299</v>
      </c>
      <c r="F50" s="89" t="s">
        <v>311</v>
      </c>
      <c r="G50" s="89" t="s">
        <v>6</v>
      </c>
      <c r="H50" s="89" t="s">
        <v>697</v>
      </c>
      <c r="I50" s="161">
        <f t="shared" si="0"/>
        <v>3.12</v>
      </c>
      <c r="J50" s="162">
        <v>390</v>
      </c>
      <c r="K50" s="369">
        <f t="shared" si="1"/>
        <v>3.12</v>
      </c>
    </row>
    <row r="51" spans="1:11" s="314" customFormat="1" x14ac:dyDescent="0.2">
      <c r="A51" s="343" t="s">
        <v>298</v>
      </c>
      <c r="B51" s="91" t="s">
        <v>330</v>
      </c>
      <c r="C51" s="89">
        <v>3</v>
      </c>
      <c r="D51" s="88">
        <f t="shared" ref="D51" si="16">C51/$C$1</f>
        <v>9.6930533117932144E-4</v>
      </c>
      <c r="E51" s="89" t="s">
        <v>299</v>
      </c>
      <c r="F51" s="89" t="s">
        <v>311</v>
      </c>
      <c r="G51" s="89" t="s">
        <v>6</v>
      </c>
      <c r="H51" s="89" t="s">
        <v>697</v>
      </c>
      <c r="I51" s="161">
        <f t="shared" si="0"/>
        <v>1.56</v>
      </c>
      <c r="J51" s="162">
        <v>520</v>
      </c>
      <c r="K51" s="369">
        <f t="shared" si="1"/>
        <v>1.56</v>
      </c>
    </row>
    <row r="52" spans="1:11" s="314" customFormat="1" x14ac:dyDescent="0.2">
      <c r="A52" s="343" t="s">
        <v>298</v>
      </c>
      <c r="B52" s="91" t="s">
        <v>329</v>
      </c>
      <c r="C52" s="89">
        <v>8</v>
      </c>
      <c r="D52" s="88">
        <f t="shared" si="15"/>
        <v>2.5848142164781908E-3</v>
      </c>
      <c r="E52" s="89" t="s">
        <v>299</v>
      </c>
      <c r="F52" s="89" t="s">
        <v>311</v>
      </c>
      <c r="G52" s="89" t="s">
        <v>6</v>
      </c>
      <c r="H52" s="89" t="s">
        <v>697</v>
      </c>
      <c r="I52" s="161">
        <f t="shared" si="0"/>
        <v>3.2</v>
      </c>
      <c r="J52" s="162">
        <v>400</v>
      </c>
      <c r="K52" s="369">
        <f t="shared" si="1"/>
        <v>3.2</v>
      </c>
    </row>
    <row r="53" spans="1:11" s="314" customFormat="1" x14ac:dyDescent="0.2">
      <c r="A53" s="343" t="s">
        <v>298</v>
      </c>
      <c r="B53" s="91" t="s">
        <v>346</v>
      </c>
      <c r="C53" s="89">
        <v>5</v>
      </c>
      <c r="D53" s="88">
        <f t="shared" si="15"/>
        <v>1.6155088852988692E-3</v>
      </c>
      <c r="E53" s="89" t="s">
        <v>299</v>
      </c>
      <c r="F53" s="89" t="s">
        <v>311</v>
      </c>
      <c r="G53" s="89" t="s">
        <v>6</v>
      </c>
      <c r="H53" s="89" t="s">
        <v>697</v>
      </c>
      <c r="I53" s="161">
        <f t="shared" si="0"/>
        <v>3.05</v>
      </c>
      <c r="J53" s="162">
        <v>610</v>
      </c>
      <c r="K53" s="369">
        <f t="shared" si="1"/>
        <v>3.05</v>
      </c>
    </row>
    <row r="54" spans="1:11" s="314" customFormat="1" x14ac:dyDescent="0.2">
      <c r="A54" s="182" t="s">
        <v>298</v>
      </c>
      <c r="B54" s="375" t="s">
        <v>373</v>
      </c>
      <c r="C54" s="101">
        <v>3</v>
      </c>
      <c r="D54" s="376">
        <f t="shared" ref="D54" si="17">C54/$C$1</f>
        <v>9.6930533117932144E-4</v>
      </c>
      <c r="E54" s="101" t="s">
        <v>299</v>
      </c>
      <c r="F54" s="101" t="s">
        <v>311</v>
      </c>
      <c r="G54" s="101" t="s">
        <v>6</v>
      </c>
      <c r="H54" s="101" t="s">
        <v>697</v>
      </c>
      <c r="I54" s="377">
        <f t="shared" ref="I54" si="18">C54*J54/1000</f>
        <v>1.32</v>
      </c>
      <c r="J54" s="196">
        <v>440</v>
      </c>
      <c r="K54" s="369">
        <f t="shared" si="1"/>
        <v>1.32</v>
      </c>
    </row>
    <row r="55" spans="1:11" s="314" customFormat="1" x14ac:dyDescent="0.2">
      <c r="A55" s="343" t="s">
        <v>298</v>
      </c>
      <c r="B55" s="91" t="s">
        <v>347</v>
      </c>
      <c r="C55" s="89">
        <v>4</v>
      </c>
      <c r="D55" s="88">
        <f t="shared" si="15"/>
        <v>1.2924071082390954E-3</v>
      </c>
      <c r="E55" s="89" t="s">
        <v>299</v>
      </c>
      <c r="F55" s="89" t="s">
        <v>311</v>
      </c>
      <c r="G55" s="89" t="s">
        <v>6</v>
      </c>
      <c r="H55" s="89" t="s">
        <v>697</v>
      </c>
      <c r="I55" s="161">
        <f t="shared" si="0"/>
        <v>3.4</v>
      </c>
      <c r="J55" s="162">
        <v>850</v>
      </c>
      <c r="K55" s="369">
        <f t="shared" si="1"/>
        <v>3.4</v>
      </c>
    </row>
    <row r="56" spans="1:11" s="314" customFormat="1" x14ac:dyDescent="0.2">
      <c r="A56" s="343" t="s">
        <v>298</v>
      </c>
      <c r="B56" s="91" t="s">
        <v>348</v>
      </c>
      <c r="C56" s="89">
        <v>1</v>
      </c>
      <c r="D56" s="88">
        <f t="shared" ref="D56:D57" si="19">C56/$C$1</f>
        <v>3.2310177705977385E-4</v>
      </c>
      <c r="E56" s="89" t="s">
        <v>299</v>
      </c>
      <c r="F56" s="89" t="s">
        <v>311</v>
      </c>
      <c r="G56" s="89" t="s">
        <v>6</v>
      </c>
      <c r="H56" s="89" t="s">
        <v>697</v>
      </c>
      <c r="I56" s="161">
        <f t="shared" si="0"/>
        <v>0.53</v>
      </c>
      <c r="J56" s="162">
        <v>530</v>
      </c>
      <c r="K56" s="369">
        <f t="shared" si="1"/>
        <v>0.53</v>
      </c>
    </row>
    <row r="57" spans="1:11" s="314" customFormat="1" x14ac:dyDescent="0.2">
      <c r="A57" s="343" t="s">
        <v>298</v>
      </c>
      <c r="B57" s="91" t="s">
        <v>349</v>
      </c>
      <c r="C57" s="89">
        <v>6</v>
      </c>
      <c r="D57" s="88">
        <f t="shared" si="19"/>
        <v>1.9386106623586429E-3</v>
      </c>
      <c r="E57" s="89" t="s">
        <v>299</v>
      </c>
      <c r="F57" s="89" t="s">
        <v>311</v>
      </c>
      <c r="G57" s="89" t="s">
        <v>6</v>
      </c>
      <c r="H57" s="89" t="s">
        <v>697</v>
      </c>
      <c r="I57" s="161">
        <f t="shared" si="0"/>
        <v>4.1399999999999997</v>
      </c>
      <c r="J57" s="162">
        <v>690</v>
      </c>
      <c r="K57" s="369">
        <f t="shared" si="1"/>
        <v>4.1399999999999997</v>
      </c>
    </row>
    <row r="58" spans="1:11" s="314" customFormat="1" ht="17" thickBot="1" x14ac:dyDescent="0.25">
      <c r="A58" s="182" t="s">
        <v>298</v>
      </c>
      <c r="B58" s="375" t="s">
        <v>384</v>
      </c>
      <c r="C58" s="101">
        <v>5</v>
      </c>
      <c r="D58" s="376">
        <f t="shared" ref="D58" si="20">C58/$C$1</f>
        <v>1.6155088852988692E-3</v>
      </c>
      <c r="E58" s="101" t="s">
        <v>91</v>
      </c>
      <c r="F58" s="101" t="s">
        <v>311</v>
      </c>
      <c r="G58" s="101" t="s">
        <v>6</v>
      </c>
      <c r="H58" s="101" t="s">
        <v>697</v>
      </c>
      <c r="I58" s="377">
        <f t="shared" ref="I58" si="21">C58*J58/1000</f>
        <v>2.85</v>
      </c>
      <c r="J58" s="196">
        <v>570</v>
      </c>
      <c r="K58" s="369">
        <f t="shared" si="1"/>
        <v>2.85</v>
      </c>
    </row>
    <row r="59" spans="1:11" s="314" customFormat="1" ht="17" x14ac:dyDescent="0.2">
      <c r="A59" s="378" t="s">
        <v>700</v>
      </c>
      <c r="B59" s="202" t="s">
        <v>434</v>
      </c>
      <c r="C59" s="186">
        <v>9</v>
      </c>
      <c r="D59" s="187">
        <f>C59/$C$1</f>
        <v>2.9079159935379646E-3</v>
      </c>
      <c r="E59" s="186" t="s">
        <v>22</v>
      </c>
      <c r="F59" s="186" t="s">
        <v>311</v>
      </c>
      <c r="G59" s="186" t="s">
        <v>7</v>
      </c>
      <c r="H59" s="186" t="s">
        <v>459</v>
      </c>
      <c r="I59" s="159">
        <f>C59*J59/1000</f>
        <v>1.2150000000000001</v>
      </c>
      <c r="J59" s="160">
        <v>135</v>
      </c>
      <c r="K59" s="369">
        <f t="shared" si="1"/>
        <v>1.2150000000000001</v>
      </c>
    </row>
    <row r="60" spans="1:11" s="314" customFormat="1" ht="18" thickBot="1" x14ac:dyDescent="0.25">
      <c r="A60" s="379" t="s">
        <v>700</v>
      </c>
      <c r="B60" s="169" t="s">
        <v>365</v>
      </c>
      <c r="C60" s="191">
        <v>50</v>
      </c>
      <c r="D60" s="192">
        <f>C60/$C$1</f>
        <v>1.6155088852988692E-2</v>
      </c>
      <c r="E60" s="191" t="s">
        <v>615</v>
      </c>
      <c r="F60" s="191" t="s">
        <v>311</v>
      </c>
      <c r="G60" s="191" t="s">
        <v>7</v>
      </c>
      <c r="H60" s="191" t="s">
        <v>459</v>
      </c>
      <c r="I60" s="171">
        <f>C60*J60/1000</f>
        <v>25</v>
      </c>
      <c r="J60" s="172">
        <v>500</v>
      </c>
      <c r="K60" s="369">
        <f t="shared" si="1"/>
        <v>25</v>
      </c>
    </row>
    <row r="61" spans="1:11" s="314" customFormat="1" ht="17" x14ac:dyDescent="0.2">
      <c r="A61" s="380" t="s">
        <v>352</v>
      </c>
      <c r="B61" s="371" t="s">
        <v>354</v>
      </c>
      <c r="C61" s="334">
        <v>10</v>
      </c>
      <c r="D61" s="372">
        <f t="shared" ref="D61:D81" si="22">C61/$C$1</f>
        <v>3.2310177705977385E-3</v>
      </c>
      <c r="E61" s="334" t="s">
        <v>299</v>
      </c>
      <c r="F61" s="334" t="s">
        <v>311</v>
      </c>
      <c r="G61" s="334" t="s">
        <v>6</v>
      </c>
      <c r="H61" s="334" t="s">
        <v>697</v>
      </c>
      <c r="I61" s="165">
        <f t="shared" si="0"/>
        <v>6.9</v>
      </c>
      <c r="J61" s="166">
        <v>690</v>
      </c>
      <c r="K61" s="369">
        <f t="shared" si="1"/>
        <v>6.9</v>
      </c>
    </row>
    <row r="62" spans="1:11" s="314" customFormat="1" ht="17" x14ac:dyDescent="0.2">
      <c r="A62" s="381" t="s">
        <v>352</v>
      </c>
      <c r="B62" s="91" t="s">
        <v>356</v>
      </c>
      <c r="C62" s="89">
        <v>4</v>
      </c>
      <c r="D62" s="88">
        <f t="shared" ref="D62" si="23">C62/$C$1</f>
        <v>1.2924071082390954E-3</v>
      </c>
      <c r="E62" s="89" t="s">
        <v>299</v>
      </c>
      <c r="F62" s="89" t="s">
        <v>311</v>
      </c>
      <c r="G62" s="89" t="s">
        <v>6</v>
      </c>
      <c r="H62" s="89" t="s">
        <v>697</v>
      </c>
      <c r="I62" s="161">
        <f t="shared" si="0"/>
        <v>3.8</v>
      </c>
      <c r="J62" s="162">
        <v>950</v>
      </c>
      <c r="K62" s="369">
        <f t="shared" si="1"/>
        <v>3.8</v>
      </c>
    </row>
    <row r="63" spans="1:11" s="314" customFormat="1" ht="17" x14ac:dyDescent="0.2">
      <c r="A63" s="381" t="s">
        <v>352</v>
      </c>
      <c r="B63" s="91" t="s">
        <v>355</v>
      </c>
      <c r="C63" s="89">
        <v>1</v>
      </c>
      <c r="D63" s="88">
        <f t="shared" si="22"/>
        <v>3.2310177705977385E-4</v>
      </c>
      <c r="E63" s="89" t="s">
        <v>299</v>
      </c>
      <c r="F63" s="89" t="s">
        <v>311</v>
      </c>
      <c r="G63" s="89" t="s">
        <v>6</v>
      </c>
      <c r="H63" s="89" t="s">
        <v>697</v>
      </c>
      <c r="I63" s="161">
        <f t="shared" si="0"/>
        <v>0.46</v>
      </c>
      <c r="J63" s="162">
        <v>460</v>
      </c>
      <c r="K63" s="369">
        <f t="shared" si="1"/>
        <v>0.46</v>
      </c>
    </row>
    <row r="64" spans="1:11" s="314" customFormat="1" ht="18" thickBot="1" x14ac:dyDescent="0.25">
      <c r="A64" s="379" t="s">
        <v>352</v>
      </c>
      <c r="B64" s="169" t="s">
        <v>353</v>
      </c>
      <c r="C64" s="191">
        <v>4</v>
      </c>
      <c r="D64" s="192">
        <f t="shared" ref="D64" si="24">C64/$C$1</f>
        <v>1.2924071082390954E-3</v>
      </c>
      <c r="E64" s="191" t="s">
        <v>299</v>
      </c>
      <c r="F64" s="191" t="s">
        <v>311</v>
      </c>
      <c r="G64" s="191" t="s">
        <v>6</v>
      </c>
      <c r="H64" s="191" t="s">
        <v>697</v>
      </c>
      <c r="I64" s="171">
        <f t="shared" si="0"/>
        <v>2.76</v>
      </c>
      <c r="J64" s="172">
        <v>690</v>
      </c>
      <c r="K64" s="369">
        <f t="shared" si="1"/>
        <v>2.76</v>
      </c>
    </row>
    <row r="65" spans="1:11" s="314" customFormat="1" x14ac:dyDescent="0.2">
      <c r="A65" s="252" t="s">
        <v>331</v>
      </c>
      <c r="B65" s="371" t="s">
        <v>329</v>
      </c>
      <c r="C65" s="334">
        <v>5</v>
      </c>
      <c r="D65" s="372">
        <f t="shared" ref="D65" si="25">C65/$C$1</f>
        <v>1.6155088852988692E-3</v>
      </c>
      <c r="E65" s="334" t="s">
        <v>299</v>
      </c>
      <c r="F65" s="334" t="s">
        <v>311</v>
      </c>
      <c r="G65" s="334" t="s">
        <v>6</v>
      </c>
      <c r="H65" s="334" t="s">
        <v>459</v>
      </c>
      <c r="I65" s="165">
        <f t="shared" si="0"/>
        <v>2.2000000000000002</v>
      </c>
      <c r="J65" s="166">
        <v>440</v>
      </c>
      <c r="K65" s="369">
        <f t="shared" si="1"/>
        <v>2.2000000000000002</v>
      </c>
    </row>
    <row r="66" spans="1:11" s="314" customFormat="1" ht="17" thickBot="1" x14ac:dyDescent="0.25">
      <c r="A66" s="68" t="s">
        <v>331</v>
      </c>
      <c r="B66" s="169" t="s">
        <v>357</v>
      </c>
      <c r="C66" s="191">
        <v>1</v>
      </c>
      <c r="D66" s="192">
        <f t="shared" ref="D66:D68" si="26">C66/$C$1</f>
        <v>3.2310177705977385E-4</v>
      </c>
      <c r="E66" s="191" t="s">
        <v>299</v>
      </c>
      <c r="F66" s="191" t="s">
        <v>311</v>
      </c>
      <c r="G66" s="191" t="s">
        <v>6</v>
      </c>
      <c r="H66" s="191" t="s">
        <v>459</v>
      </c>
      <c r="I66" s="171">
        <f t="shared" si="0"/>
        <v>0.52</v>
      </c>
      <c r="J66" s="172">
        <v>520</v>
      </c>
      <c r="K66" s="369">
        <f t="shared" si="1"/>
        <v>0.52</v>
      </c>
    </row>
    <row r="67" spans="1:11" s="314" customFormat="1" ht="17" x14ac:dyDescent="0.2">
      <c r="A67" s="378" t="s">
        <v>358</v>
      </c>
      <c r="B67" s="202" t="s">
        <v>360</v>
      </c>
      <c r="C67" s="186">
        <v>2</v>
      </c>
      <c r="D67" s="187">
        <f t="shared" si="26"/>
        <v>6.462035541195477E-4</v>
      </c>
      <c r="E67" s="186" t="s">
        <v>299</v>
      </c>
      <c r="F67" s="186" t="s">
        <v>311</v>
      </c>
      <c r="G67" s="186" t="s">
        <v>6</v>
      </c>
      <c r="H67" s="186" t="s">
        <v>459</v>
      </c>
      <c r="I67" s="159">
        <f t="shared" si="0"/>
        <v>0.96</v>
      </c>
      <c r="J67" s="160">
        <v>480</v>
      </c>
      <c r="K67" s="369">
        <f t="shared" si="1"/>
        <v>0.96</v>
      </c>
    </row>
    <row r="68" spans="1:11" s="314" customFormat="1" ht="18" thickBot="1" x14ac:dyDescent="0.25">
      <c r="A68" s="379" t="s">
        <v>358</v>
      </c>
      <c r="B68" s="169" t="s">
        <v>359</v>
      </c>
      <c r="C68" s="191">
        <v>1</v>
      </c>
      <c r="D68" s="192">
        <f t="shared" si="26"/>
        <v>3.2310177705977385E-4</v>
      </c>
      <c r="E68" s="191" t="s">
        <v>299</v>
      </c>
      <c r="F68" s="191" t="s">
        <v>311</v>
      </c>
      <c r="G68" s="191" t="s">
        <v>6</v>
      </c>
      <c r="H68" s="191" t="s">
        <v>459</v>
      </c>
      <c r="I68" s="171">
        <f t="shared" si="0"/>
        <v>0.54</v>
      </c>
      <c r="J68" s="172">
        <v>540</v>
      </c>
      <c r="K68" s="369">
        <f t="shared" si="1"/>
        <v>0.54</v>
      </c>
    </row>
    <row r="69" spans="1:11" s="314" customFormat="1" ht="17" thickBot="1" x14ac:dyDescent="0.25">
      <c r="A69" s="197" t="s">
        <v>350</v>
      </c>
      <c r="B69" s="382" t="s">
        <v>351</v>
      </c>
      <c r="C69" s="364">
        <v>4</v>
      </c>
      <c r="D69" s="383">
        <f t="shared" si="22"/>
        <v>1.2924071082390954E-3</v>
      </c>
      <c r="E69" s="364" t="s">
        <v>299</v>
      </c>
      <c r="F69" s="364" t="s">
        <v>311</v>
      </c>
      <c r="G69" s="364" t="s">
        <v>6</v>
      </c>
      <c r="H69" s="364" t="s">
        <v>459</v>
      </c>
      <c r="I69" s="147">
        <f t="shared" si="0"/>
        <v>1.76</v>
      </c>
      <c r="J69" s="146">
        <v>440</v>
      </c>
      <c r="K69" s="369">
        <f t="shared" ref="K69:K87" si="27">J69*C69/1000</f>
        <v>1.76</v>
      </c>
    </row>
    <row r="70" spans="1:11" s="314" customFormat="1" ht="17" thickBot="1" x14ac:dyDescent="0.25">
      <c r="A70" s="197" t="s">
        <v>362</v>
      </c>
      <c r="B70" s="382" t="s">
        <v>361</v>
      </c>
      <c r="C70" s="364">
        <v>2</v>
      </c>
      <c r="D70" s="383">
        <f t="shared" ref="D70" si="28">C70/$C$1</f>
        <v>6.462035541195477E-4</v>
      </c>
      <c r="E70" s="364" t="s">
        <v>299</v>
      </c>
      <c r="F70" s="364" t="s">
        <v>311</v>
      </c>
      <c r="G70" s="364" t="s">
        <v>6</v>
      </c>
      <c r="H70" s="364" t="s">
        <v>697</v>
      </c>
      <c r="I70" s="147">
        <f t="shared" si="0"/>
        <v>0.98</v>
      </c>
      <c r="J70" s="146">
        <v>490</v>
      </c>
      <c r="K70" s="369">
        <f t="shared" si="27"/>
        <v>0.98</v>
      </c>
    </row>
    <row r="71" spans="1:11" s="314" customFormat="1" ht="17" thickBot="1" x14ac:dyDescent="0.25">
      <c r="A71" s="197" t="s">
        <v>388</v>
      </c>
      <c r="B71" s="382" t="s">
        <v>735</v>
      </c>
      <c r="C71" s="364">
        <v>13</v>
      </c>
      <c r="D71" s="383">
        <f t="shared" si="22"/>
        <v>4.2003231017770596E-3</v>
      </c>
      <c r="E71" s="364" t="s">
        <v>39</v>
      </c>
      <c r="F71" s="364" t="s">
        <v>311</v>
      </c>
      <c r="G71" s="364" t="s">
        <v>6</v>
      </c>
      <c r="H71" s="364" t="s">
        <v>697</v>
      </c>
      <c r="I71" s="147">
        <f t="shared" si="0"/>
        <v>3.64</v>
      </c>
      <c r="J71" s="146">
        <v>280</v>
      </c>
      <c r="K71" s="369">
        <f t="shared" si="27"/>
        <v>3.64</v>
      </c>
    </row>
    <row r="72" spans="1:11" s="314" customFormat="1" ht="17" thickBot="1" x14ac:dyDescent="0.25">
      <c r="A72" s="182" t="s">
        <v>370</v>
      </c>
      <c r="B72" s="375" t="s">
        <v>371</v>
      </c>
      <c r="C72" s="101">
        <v>2</v>
      </c>
      <c r="D72" s="376">
        <f t="shared" si="22"/>
        <v>6.462035541195477E-4</v>
      </c>
      <c r="E72" s="101" t="s">
        <v>299</v>
      </c>
      <c r="F72" s="101" t="s">
        <v>311</v>
      </c>
      <c r="G72" s="101" t="s">
        <v>6</v>
      </c>
      <c r="H72" s="101" t="s">
        <v>459</v>
      </c>
      <c r="I72" s="377">
        <f t="shared" ref="I72:I75" si="29">C72*J72/1000</f>
        <v>1.08</v>
      </c>
      <c r="J72" s="196">
        <v>540</v>
      </c>
      <c r="K72" s="369">
        <f t="shared" si="27"/>
        <v>1.08</v>
      </c>
    </row>
    <row r="73" spans="1:11" s="314" customFormat="1" ht="18" thickBot="1" x14ac:dyDescent="0.25">
      <c r="A73" s="378" t="s">
        <v>375</v>
      </c>
      <c r="B73" s="202" t="s">
        <v>417</v>
      </c>
      <c r="C73" s="186">
        <v>308</v>
      </c>
      <c r="D73" s="187">
        <f t="shared" si="22"/>
        <v>9.9515347334410337E-2</v>
      </c>
      <c r="E73" s="186" t="s">
        <v>22</v>
      </c>
      <c r="F73" s="186" t="s">
        <v>311</v>
      </c>
      <c r="G73" s="186" t="s">
        <v>7</v>
      </c>
      <c r="H73" s="186" t="s">
        <v>459</v>
      </c>
      <c r="I73" s="159">
        <f t="shared" si="29"/>
        <v>40.963999999999999</v>
      </c>
      <c r="J73" s="160">
        <v>133</v>
      </c>
      <c r="K73" s="369">
        <f t="shared" si="27"/>
        <v>40.963999999999999</v>
      </c>
    </row>
    <row r="74" spans="1:11" s="314" customFormat="1" ht="17" thickBot="1" x14ac:dyDescent="0.25">
      <c r="A74" s="70" t="s">
        <v>418</v>
      </c>
      <c r="B74" s="106" t="s">
        <v>419</v>
      </c>
      <c r="C74" s="345">
        <v>13</v>
      </c>
      <c r="D74" s="384">
        <f>C74/$C$1</f>
        <v>4.2003231017770596E-3</v>
      </c>
      <c r="E74" s="345" t="s">
        <v>93</v>
      </c>
      <c r="F74" s="345" t="s">
        <v>311</v>
      </c>
      <c r="G74" s="345" t="s">
        <v>7</v>
      </c>
      <c r="H74" s="345" t="s">
        <v>459</v>
      </c>
      <c r="I74" s="148">
        <f t="shared" ref="I74" si="30">C74*J74/1000</f>
        <v>1.69</v>
      </c>
      <c r="J74" s="140">
        <v>130</v>
      </c>
      <c r="K74" s="369">
        <f t="shared" si="27"/>
        <v>1.69</v>
      </c>
    </row>
    <row r="75" spans="1:11" s="314" customFormat="1" ht="17" thickBot="1" x14ac:dyDescent="0.25">
      <c r="A75" s="182" t="s">
        <v>411</v>
      </c>
      <c r="B75" s="375" t="s">
        <v>424</v>
      </c>
      <c r="C75" s="101">
        <v>8</v>
      </c>
      <c r="D75" s="385">
        <f t="shared" si="22"/>
        <v>2.5848142164781908E-3</v>
      </c>
      <c r="E75" s="101" t="s">
        <v>93</v>
      </c>
      <c r="F75" s="101" t="s">
        <v>311</v>
      </c>
      <c r="G75" s="101" t="s">
        <v>7</v>
      </c>
      <c r="H75" s="101" t="s">
        <v>459</v>
      </c>
      <c r="I75" s="340">
        <f t="shared" si="29"/>
        <v>4</v>
      </c>
      <c r="J75" s="196">
        <v>500</v>
      </c>
      <c r="K75" s="369">
        <f t="shared" si="27"/>
        <v>4</v>
      </c>
    </row>
    <row r="76" spans="1:11" s="314" customFormat="1" x14ac:dyDescent="0.2">
      <c r="A76" s="105" t="s">
        <v>435</v>
      </c>
      <c r="B76" s="185" t="s">
        <v>364</v>
      </c>
      <c r="C76" s="186">
        <v>89</v>
      </c>
      <c r="D76" s="187">
        <f t="shared" si="22"/>
        <v>2.8756058158319872E-2</v>
      </c>
      <c r="E76" s="186" t="s">
        <v>363</v>
      </c>
      <c r="F76" s="186" t="s">
        <v>311</v>
      </c>
      <c r="G76" s="186" t="s">
        <v>7</v>
      </c>
      <c r="H76" s="186" t="s">
        <v>459</v>
      </c>
      <c r="I76" s="159">
        <f t="shared" si="0"/>
        <v>43.61</v>
      </c>
      <c r="J76" s="160">
        <v>490</v>
      </c>
      <c r="K76" s="369">
        <f t="shared" si="27"/>
        <v>43.61</v>
      </c>
    </row>
    <row r="77" spans="1:11" x14ac:dyDescent="0.2">
      <c r="A77" s="365" t="s">
        <v>435</v>
      </c>
      <c r="B77" s="366" t="s">
        <v>364</v>
      </c>
      <c r="C77" s="334">
        <v>49</v>
      </c>
      <c r="D77" s="88">
        <f t="shared" ref="D77:D80" si="31">C77/$C$1</f>
        <v>1.5831987075928918E-2</v>
      </c>
      <c r="E77" s="334" t="s">
        <v>363</v>
      </c>
      <c r="F77" s="334" t="s">
        <v>311</v>
      </c>
      <c r="G77" s="334" t="s">
        <v>7</v>
      </c>
      <c r="H77" s="334" t="s">
        <v>697</v>
      </c>
      <c r="I77" s="161">
        <f>C77*J77/1000</f>
        <v>24.01</v>
      </c>
      <c r="J77" s="166">
        <v>490</v>
      </c>
      <c r="K77" s="143">
        <f t="shared" si="27"/>
        <v>24.01</v>
      </c>
    </row>
    <row r="78" spans="1:11" x14ac:dyDescent="0.2">
      <c r="A78" s="188" t="s">
        <v>435</v>
      </c>
      <c r="B78" s="184" t="s">
        <v>365</v>
      </c>
      <c r="C78" s="89">
        <v>10</v>
      </c>
      <c r="D78" s="88">
        <f t="shared" si="31"/>
        <v>3.2310177705977385E-3</v>
      </c>
      <c r="E78" s="89" t="s">
        <v>615</v>
      </c>
      <c r="F78" s="89" t="s">
        <v>311</v>
      </c>
      <c r="G78" s="89" t="s">
        <v>7</v>
      </c>
      <c r="H78" s="89" t="s">
        <v>459</v>
      </c>
      <c r="I78" s="161">
        <f>C78*J78/1000</f>
        <v>5</v>
      </c>
      <c r="J78" s="162">
        <v>500</v>
      </c>
      <c r="K78" s="143">
        <f t="shared" si="27"/>
        <v>5</v>
      </c>
    </row>
    <row r="79" spans="1:11" x14ac:dyDescent="0.2">
      <c r="A79" s="188" t="s">
        <v>435</v>
      </c>
      <c r="B79" s="184" t="s">
        <v>376</v>
      </c>
      <c r="C79" s="89">
        <v>50</v>
      </c>
      <c r="D79" s="88">
        <f t="shared" si="31"/>
        <v>1.6155088852988692E-2</v>
      </c>
      <c r="E79" s="89" t="s">
        <v>4</v>
      </c>
      <c r="F79" s="89" t="s">
        <v>311</v>
      </c>
      <c r="G79" s="89" t="s">
        <v>7</v>
      </c>
      <c r="H79" s="89" t="s">
        <v>459</v>
      </c>
      <c r="I79" s="165">
        <f t="shared" si="0"/>
        <v>15.25</v>
      </c>
      <c r="J79" s="166">
        <v>305</v>
      </c>
      <c r="K79" s="143">
        <f t="shared" si="27"/>
        <v>15.25</v>
      </c>
    </row>
    <row r="80" spans="1:11" x14ac:dyDescent="0.2">
      <c r="A80" s="188" t="s">
        <v>435</v>
      </c>
      <c r="B80" s="184" t="s">
        <v>366</v>
      </c>
      <c r="C80" s="89">
        <v>6</v>
      </c>
      <c r="D80" s="88">
        <f t="shared" si="31"/>
        <v>1.9386106623586429E-3</v>
      </c>
      <c r="E80" s="89" t="s">
        <v>93</v>
      </c>
      <c r="F80" s="89" t="s">
        <v>311</v>
      </c>
      <c r="G80" s="89" t="s">
        <v>7</v>
      </c>
      <c r="H80" s="89" t="s">
        <v>459</v>
      </c>
      <c r="I80" s="161">
        <f t="shared" si="0"/>
        <v>2.76</v>
      </c>
      <c r="J80" s="162">
        <v>460</v>
      </c>
      <c r="K80" s="143">
        <f t="shared" si="27"/>
        <v>2.76</v>
      </c>
    </row>
    <row r="81" spans="1:11" x14ac:dyDescent="0.2">
      <c r="A81" s="188" t="s">
        <v>435</v>
      </c>
      <c r="B81" s="184" t="s">
        <v>377</v>
      </c>
      <c r="C81" s="89">
        <v>14</v>
      </c>
      <c r="D81" s="88">
        <f t="shared" si="22"/>
        <v>4.5234248788368339E-3</v>
      </c>
      <c r="E81" s="89" t="s">
        <v>616</v>
      </c>
      <c r="F81" s="89" t="s">
        <v>311</v>
      </c>
      <c r="G81" s="89" t="s">
        <v>7</v>
      </c>
      <c r="H81" s="89" t="s">
        <v>459</v>
      </c>
      <c r="I81" s="161">
        <f t="shared" si="0"/>
        <v>2.8</v>
      </c>
      <c r="J81" s="162">
        <v>200</v>
      </c>
      <c r="K81" s="143">
        <f t="shared" si="27"/>
        <v>2.8</v>
      </c>
    </row>
    <row r="82" spans="1:11" x14ac:dyDescent="0.2">
      <c r="A82" s="188" t="s">
        <v>435</v>
      </c>
      <c r="B82" s="184" t="s">
        <v>378</v>
      </c>
      <c r="C82" s="89">
        <v>7</v>
      </c>
      <c r="D82" s="88">
        <f t="shared" ref="D82:D85" si="32">C82/$C$1</f>
        <v>2.2617124394184169E-3</v>
      </c>
      <c r="E82" s="89" t="s">
        <v>105</v>
      </c>
      <c r="F82" s="89" t="s">
        <v>311</v>
      </c>
      <c r="G82" s="89" t="s">
        <v>7</v>
      </c>
      <c r="H82" s="89" t="s">
        <v>459</v>
      </c>
      <c r="I82" s="161">
        <f t="shared" ref="I82:I85" si="33">C82*J82/1000</f>
        <v>1.05</v>
      </c>
      <c r="J82" s="162">
        <v>150</v>
      </c>
      <c r="K82" s="143">
        <f t="shared" si="27"/>
        <v>1.05</v>
      </c>
    </row>
    <row r="83" spans="1:11" x14ac:dyDescent="0.2">
      <c r="A83" s="188" t="s">
        <v>435</v>
      </c>
      <c r="B83" s="184" t="s">
        <v>379</v>
      </c>
      <c r="C83" s="89">
        <v>4</v>
      </c>
      <c r="D83" s="88">
        <f t="shared" si="32"/>
        <v>1.2924071082390954E-3</v>
      </c>
      <c r="E83" s="89" t="s">
        <v>238</v>
      </c>
      <c r="F83" s="89" t="s">
        <v>311</v>
      </c>
      <c r="G83" s="89" t="s">
        <v>7</v>
      </c>
      <c r="H83" s="89" t="s">
        <v>459</v>
      </c>
      <c r="I83" s="161">
        <f t="shared" si="33"/>
        <v>1.4</v>
      </c>
      <c r="J83" s="162">
        <v>350</v>
      </c>
      <c r="K83" s="143">
        <f t="shared" si="27"/>
        <v>1.4</v>
      </c>
    </row>
    <row r="84" spans="1:11" x14ac:dyDescent="0.2">
      <c r="A84" s="188" t="s">
        <v>435</v>
      </c>
      <c r="B84" s="184" t="s">
        <v>380</v>
      </c>
      <c r="C84" s="89">
        <v>25</v>
      </c>
      <c r="D84" s="88">
        <f t="shared" si="32"/>
        <v>8.0775444264943458E-3</v>
      </c>
      <c r="E84" s="89" t="s">
        <v>105</v>
      </c>
      <c r="F84" s="89" t="s">
        <v>311</v>
      </c>
      <c r="G84" s="89" t="s">
        <v>7</v>
      </c>
      <c r="H84" s="89" t="s">
        <v>459</v>
      </c>
      <c r="I84" s="161">
        <f t="shared" si="33"/>
        <v>3.25</v>
      </c>
      <c r="J84" s="162">
        <v>130</v>
      </c>
      <c r="K84" s="143">
        <f t="shared" si="27"/>
        <v>3.25</v>
      </c>
    </row>
    <row r="85" spans="1:11" x14ac:dyDescent="0.2">
      <c r="A85" s="188" t="s">
        <v>435</v>
      </c>
      <c r="B85" s="184" t="s">
        <v>381</v>
      </c>
      <c r="C85" s="89">
        <v>25</v>
      </c>
      <c r="D85" s="88">
        <f t="shared" si="32"/>
        <v>8.0775444264943458E-3</v>
      </c>
      <c r="E85" s="89" t="s">
        <v>39</v>
      </c>
      <c r="F85" s="89" t="s">
        <v>311</v>
      </c>
      <c r="G85" s="89" t="s">
        <v>7</v>
      </c>
      <c r="H85" s="89" t="s">
        <v>459</v>
      </c>
      <c r="I85" s="161">
        <f t="shared" si="33"/>
        <v>7</v>
      </c>
      <c r="J85" s="162">
        <v>280</v>
      </c>
      <c r="K85" s="143">
        <f t="shared" si="27"/>
        <v>7</v>
      </c>
    </row>
    <row r="86" spans="1:11" x14ac:dyDescent="0.2">
      <c r="A86" s="188" t="s">
        <v>435</v>
      </c>
      <c r="B86" s="184" t="s">
        <v>382</v>
      </c>
      <c r="C86" s="89">
        <v>34</v>
      </c>
      <c r="D86" s="88">
        <f t="shared" ref="D86:D87" si="34">C86/$C$1</f>
        <v>1.098546042003231E-2</v>
      </c>
      <c r="E86" s="89" t="s">
        <v>22</v>
      </c>
      <c r="F86" s="89" t="s">
        <v>311</v>
      </c>
      <c r="G86" s="89" t="s">
        <v>7</v>
      </c>
      <c r="H86" s="89" t="s">
        <v>459</v>
      </c>
      <c r="I86" s="161">
        <f t="shared" ref="I86:I87" si="35">C86*J86/1000</f>
        <v>5.78</v>
      </c>
      <c r="J86" s="162">
        <v>170</v>
      </c>
      <c r="K86" s="143">
        <f t="shared" si="27"/>
        <v>5.78</v>
      </c>
    </row>
    <row r="87" spans="1:11" ht="17" thickBot="1" x14ac:dyDescent="0.25">
      <c r="A87" s="189" t="s">
        <v>435</v>
      </c>
      <c r="B87" s="190" t="s">
        <v>383</v>
      </c>
      <c r="C87" s="191">
        <v>5</v>
      </c>
      <c r="D87" s="192">
        <f t="shared" si="34"/>
        <v>1.6155088852988692E-3</v>
      </c>
      <c r="E87" s="191" t="s">
        <v>385</v>
      </c>
      <c r="F87" s="191" t="s">
        <v>311</v>
      </c>
      <c r="G87" s="191" t="s">
        <v>6</v>
      </c>
      <c r="H87" s="191" t="s">
        <v>459</v>
      </c>
      <c r="I87" s="171">
        <f t="shared" si="35"/>
        <v>1.1499999999999999</v>
      </c>
      <c r="J87" s="172">
        <v>230</v>
      </c>
      <c r="K87" s="143">
        <f t="shared" si="27"/>
        <v>1.1499999999999999</v>
      </c>
    </row>
    <row r="88" spans="1:11" x14ac:dyDescent="0.2">
      <c r="D88" s="12"/>
    </row>
    <row r="89" spans="1:11" ht="17" thickBot="1" x14ac:dyDescent="0.25">
      <c r="A89" s="92"/>
      <c r="D89" s="12"/>
    </row>
    <row r="90" spans="1:11" x14ac:dyDescent="0.2">
      <c r="A90" s="416" t="s">
        <v>620</v>
      </c>
      <c r="B90" s="417"/>
      <c r="C90" s="417"/>
      <c r="D90" s="417"/>
      <c r="E90" s="418"/>
      <c r="F90" s="81"/>
      <c r="G90" s="81"/>
      <c r="H90" s="81"/>
    </row>
    <row r="91" spans="1:11" x14ac:dyDescent="0.2">
      <c r="A91" s="213" t="s">
        <v>613</v>
      </c>
      <c r="B91" s="208" t="s">
        <v>614</v>
      </c>
      <c r="C91" s="331"/>
      <c r="D91" s="214" t="s">
        <v>617</v>
      </c>
      <c r="E91" s="215"/>
      <c r="F91" s="81"/>
      <c r="G91" s="81"/>
      <c r="H91" s="81"/>
    </row>
    <row r="92" spans="1:11" x14ac:dyDescent="0.2">
      <c r="A92" s="79" t="str">
        <f>A4</f>
        <v>APU</v>
      </c>
      <c r="B92" s="14">
        <f t="shared" ref="B92:B104" si="36">SUMIF($A$4:$A$87,A92,$C$4:$C$87)</f>
        <v>1841</v>
      </c>
      <c r="C92" s="75">
        <f>B92/$C$1</f>
        <v>0.59483037156704366</v>
      </c>
      <c r="D92" s="222">
        <f t="shared" ref="D92:D105" si="37">SUMIF($A$4:$A$87,A92,$I$4:$I$87)</f>
        <v>908.66000000000042</v>
      </c>
      <c r="E92" s="210">
        <f>D92/$E$1</f>
        <v>0.65512664392692432</v>
      </c>
      <c r="F92" s="81"/>
      <c r="G92" s="81"/>
      <c r="H92" s="83"/>
    </row>
    <row r="93" spans="1:11" x14ac:dyDescent="0.2">
      <c r="A93" s="79" t="str">
        <f>A39</f>
        <v>GEM</v>
      </c>
      <c r="B93" s="14">
        <f t="shared" si="36"/>
        <v>499</v>
      </c>
      <c r="C93" s="75">
        <f t="shared" ref="C93" si="38">B93/$C$1</f>
        <v>0.16122778675282715</v>
      </c>
      <c r="D93" s="222">
        <f t="shared" si="37"/>
        <v>266.81</v>
      </c>
      <c r="E93" s="210">
        <f t="shared" ref="E93:E104" si="39">D93/$E$1</f>
        <v>0.19236495484135166</v>
      </c>
      <c r="F93" s="81"/>
      <c r="G93" s="81"/>
      <c r="H93" s="83"/>
    </row>
    <row r="94" spans="1:11" x14ac:dyDescent="0.2">
      <c r="A94" s="79" t="str">
        <f>A73</f>
        <v>Khikh LLC</v>
      </c>
      <c r="B94" s="14">
        <f t="shared" si="36"/>
        <v>308</v>
      </c>
      <c r="C94" s="75">
        <f>B94/$C$1</f>
        <v>9.9515347334410337E-2</v>
      </c>
      <c r="D94" s="222">
        <f t="shared" si="37"/>
        <v>40.963999999999999</v>
      </c>
      <c r="E94" s="210">
        <f t="shared" si="39"/>
        <v>2.9534267868974659E-2</v>
      </c>
      <c r="F94" s="81"/>
      <c r="G94" s="81"/>
      <c r="H94" s="83"/>
    </row>
    <row r="95" spans="1:11" x14ac:dyDescent="0.2">
      <c r="A95" s="79" t="str">
        <f>A59</f>
        <v>MSM Group</v>
      </c>
      <c r="B95" s="14">
        <f t="shared" si="36"/>
        <v>59</v>
      </c>
      <c r="C95" s="75">
        <f>B95/$C$1</f>
        <v>1.9063004846526656E-2</v>
      </c>
      <c r="D95" s="222">
        <f t="shared" si="37"/>
        <v>26.215</v>
      </c>
      <c r="E95" s="210">
        <f t="shared" si="39"/>
        <v>1.8900518313279237E-2</v>
      </c>
      <c r="F95" s="81"/>
      <c r="G95" s="81"/>
      <c r="H95" s="83"/>
    </row>
    <row r="96" spans="1:11" x14ac:dyDescent="0.2">
      <c r="A96" s="79" t="str">
        <f>A61</f>
        <v>Arvain Undes Beverages</v>
      </c>
      <c r="B96" s="14">
        <f t="shared" si="36"/>
        <v>19</v>
      </c>
      <c r="C96" s="75">
        <f t="shared" ref="C96:C104" si="40">B96/$C$1</f>
        <v>6.1389337641357027E-3</v>
      </c>
      <c r="D96" s="222">
        <f t="shared" si="37"/>
        <v>13.92</v>
      </c>
      <c r="E96" s="210">
        <f t="shared" si="39"/>
        <v>1.0036056262477475E-2</v>
      </c>
      <c r="F96" s="81"/>
      <c r="G96" s="81"/>
      <c r="H96" s="83"/>
    </row>
    <row r="97" spans="1:8" x14ac:dyDescent="0.2">
      <c r="A97" s="79" t="str">
        <f>A74</f>
        <v>Chapriko LLC</v>
      </c>
      <c r="B97" s="14">
        <f t="shared" si="36"/>
        <v>13</v>
      </c>
      <c r="C97" s="75">
        <f>B97/$C$1</f>
        <v>4.2003231017770596E-3</v>
      </c>
      <c r="D97" s="222">
        <f t="shared" si="37"/>
        <v>1.69</v>
      </c>
      <c r="E97" s="210">
        <f>D97/$E$1</f>
        <v>1.2184579801427394E-3</v>
      </c>
      <c r="F97" s="81"/>
      <c r="G97" s="81"/>
      <c r="H97" s="83"/>
    </row>
    <row r="98" spans="1:8" x14ac:dyDescent="0.2">
      <c r="A98" s="79" t="str">
        <f>A71</f>
        <v>Eden LLC</v>
      </c>
      <c r="B98" s="14">
        <f t="shared" si="36"/>
        <v>13</v>
      </c>
      <c r="C98" s="75">
        <f>B98/$C$1</f>
        <v>4.2003231017770596E-3</v>
      </c>
      <c r="D98" s="222">
        <f t="shared" si="37"/>
        <v>3.64</v>
      </c>
      <c r="E98" s="210">
        <f>D98/$E$1</f>
        <v>2.6243710341535926E-3</v>
      </c>
      <c r="F98" s="81"/>
      <c r="G98" s="81"/>
      <c r="H98" s="83"/>
    </row>
    <row r="99" spans="1:8" x14ac:dyDescent="0.2">
      <c r="A99" s="332" t="str">
        <f>A75</f>
        <v>Nomin Foods LLC</v>
      </c>
      <c r="B99" s="14">
        <f t="shared" si="36"/>
        <v>8</v>
      </c>
      <c r="C99" s="75">
        <f>B99/$C$1</f>
        <v>2.5848142164781908E-3</v>
      </c>
      <c r="D99" s="222">
        <f t="shared" si="37"/>
        <v>4</v>
      </c>
      <c r="E99" s="210">
        <f>D99/$E$1</f>
        <v>2.8839242133555962E-3</v>
      </c>
      <c r="F99" s="81"/>
      <c r="G99" s="81"/>
      <c r="H99" s="83"/>
    </row>
    <row r="100" spans="1:8" x14ac:dyDescent="0.2">
      <c r="A100" s="79" t="str">
        <f>A65</f>
        <v>Alkogroup (Хярын нуур ХХК)</v>
      </c>
      <c r="B100" s="14">
        <f t="shared" si="36"/>
        <v>6</v>
      </c>
      <c r="C100" s="75">
        <f t="shared" si="40"/>
        <v>1.9386106623586429E-3</v>
      </c>
      <c r="D100" s="222">
        <f t="shared" si="37"/>
        <v>2.72</v>
      </c>
      <c r="E100" s="210">
        <f t="shared" si="39"/>
        <v>1.9610684650818054E-3</v>
      </c>
      <c r="F100" s="81"/>
      <c r="G100" s="81"/>
      <c r="H100" s="83"/>
    </row>
    <row r="101" spans="1:8" x14ac:dyDescent="0.2">
      <c r="A101" s="79" t="str">
        <f>A69</f>
        <v>Küvsgöl Khuns XK</v>
      </c>
      <c r="B101" s="14">
        <f t="shared" si="36"/>
        <v>4</v>
      </c>
      <c r="C101" s="75">
        <f>B101/$C$1</f>
        <v>1.2924071082390954E-3</v>
      </c>
      <c r="D101" s="222">
        <f t="shared" si="37"/>
        <v>1.76</v>
      </c>
      <c r="E101" s="210">
        <f>D101/$E$1</f>
        <v>1.2689266538764624E-3</v>
      </c>
      <c r="F101" s="81"/>
      <c r="G101" s="81"/>
      <c r="H101" s="83"/>
    </row>
    <row r="102" spans="1:8" x14ac:dyDescent="0.2">
      <c r="A102" s="79" t="str">
        <f>A67</f>
        <v>Shine Ekhlel LLC</v>
      </c>
      <c r="B102" s="14">
        <f t="shared" si="36"/>
        <v>3</v>
      </c>
      <c r="C102" s="75">
        <f t="shared" si="40"/>
        <v>9.6930533117932144E-4</v>
      </c>
      <c r="D102" s="222">
        <f t="shared" si="37"/>
        <v>1.5</v>
      </c>
      <c r="E102" s="210">
        <f t="shared" si="39"/>
        <v>1.0814715800083485E-3</v>
      </c>
      <c r="F102" s="81"/>
      <c r="G102" s="81"/>
      <c r="H102" s="83"/>
    </row>
    <row r="103" spans="1:8" x14ac:dyDescent="0.2">
      <c r="A103" s="79" t="str">
        <f>A70</f>
        <v>Zavkhan Bayalag XK</v>
      </c>
      <c r="B103" s="14">
        <f t="shared" si="36"/>
        <v>2</v>
      </c>
      <c r="C103" s="75">
        <f t="shared" si="40"/>
        <v>6.462035541195477E-4</v>
      </c>
      <c r="D103" s="222">
        <f t="shared" si="37"/>
        <v>0.98</v>
      </c>
      <c r="E103" s="210">
        <f t="shared" si="39"/>
        <v>7.0656143227212107E-4</v>
      </c>
      <c r="F103" s="81"/>
      <c r="G103" s="81"/>
      <c r="H103" s="83"/>
    </row>
    <row r="104" spans="1:8" x14ac:dyDescent="0.2">
      <c r="A104" s="79" t="str">
        <f>A72</f>
        <v>Altan Khuns Group LLC</v>
      </c>
      <c r="B104" s="14">
        <f t="shared" si="36"/>
        <v>2</v>
      </c>
      <c r="C104" s="75">
        <f t="shared" si="40"/>
        <v>6.462035541195477E-4</v>
      </c>
      <c r="D104" s="222">
        <f t="shared" si="37"/>
        <v>1.08</v>
      </c>
      <c r="E104" s="210">
        <f t="shared" si="39"/>
        <v>7.7865953760601105E-4</v>
      </c>
      <c r="F104" s="81"/>
      <c r="G104" s="81"/>
      <c r="H104" s="83"/>
    </row>
    <row r="105" spans="1:8" ht="17" thickBot="1" x14ac:dyDescent="0.25">
      <c r="A105" s="333" t="s">
        <v>435</v>
      </c>
      <c r="B105" s="31">
        <f>SUMIF($A$4:$A$87,A105,$C$4:$C$87)</f>
        <v>318</v>
      </c>
      <c r="C105" s="85">
        <f>B105/$C$1</f>
        <v>0.10274636510500808</v>
      </c>
      <c r="D105" s="223">
        <f t="shared" si="37"/>
        <v>113.06000000000002</v>
      </c>
      <c r="E105" s="212">
        <f>D105/$E$1</f>
        <v>8.1514117890495938E-2</v>
      </c>
      <c r="F105" s="81"/>
      <c r="G105" s="81"/>
      <c r="H105" s="83"/>
    </row>
    <row r="106" spans="1:8" x14ac:dyDescent="0.2">
      <c r="A106" s="10"/>
      <c r="B106" s="77">
        <f>SUM(B92:B105)-$C$1</f>
        <v>0</v>
      </c>
      <c r="C106" s="80"/>
      <c r="D106" s="77">
        <f>SUM(D92:D105)-E1</f>
        <v>0</v>
      </c>
      <c r="E106" s="78"/>
      <c r="F106" s="5"/>
      <c r="G106" s="5"/>
      <c r="H106" s="5"/>
    </row>
    <row r="107" spans="1:8" ht="17" thickBot="1" x14ac:dyDescent="0.25">
      <c r="A107" s="1"/>
      <c r="B107" s="1"/>
      <c r="C107" s="6"/>
      <c r="D107" s="6"/>
      <c r="E107" s="5"/>
      <c r="F107" s="5"/>
      <c r="G107" s="5"/>
      <c r="H107" s="5"/>
    </row>
    <row r="108" spans="1:8" x14ac:dyDescent="0.2">
      <c r="A108" s="413" t="s">
        <v>126</v>
      </c>
      <c r="B108" s="414"/>
      <c r="C108" s="414"/>
      <c r="D108" s="414"/>
      <c r="E108" s="415"/>
      <c r="F108" s="81"/>
      <c r="G108" s="81"/>
      <c r="H108" s="81"/>
    </row>
    <row r="109" spans="1:8" x14ac:dyDescent="0.2">
      <c r="A109" s="213" t="s">
        <v>1</v>
      </c>
      <c r="B109" s="208" t="s">
        <v>614</v>
      </c>
      <c r="C109" s="209"/>
      <c r="D109" s="214" t="s">
        <v>617</v>
      </c>
      <c r="E109" s="215"/>
      <c r="F109" s="81"/>
      <c r="G109" s="81"/>
      <c r="H109" s="81"/>
    </row>
    <row r="110" spans="1:8" x14ac:dyDescent="0.2">
      <c r="A110" s="79" t="s">
        <v>299</v>
      </c>
      <c r="B110" s="14">
        <f t="shared" ref="B110:B121" si="41">SUMIF($E$4:$E$87,A110,$C$4:$C$87)</f>
        <v>2145</v>
      </c>
      <c r="C110" s="75">
        <f t="shared" ref="C110:C120" si="42">B110/$C$1</f>
        <v>0.69305331179321483</v>
      </c>
      <c r="D110" s="230">
        <f t="shared" ref="D110:D121" si="43">SUMIF($E$4:$E$87,A110,$I$4:$I$87)</f>
        <v>1109.3800000000006</v>
      </c>
      <c r="E110" s="210">
        <f>D110/$E$1</f>
        <v>0.79984196095310822</v>
      </c>
      <c r="F110" s="81"/>
      <c r="G110" s="81"/>
      <c r="H110" s="81"/>
    </row>
    <row r="111" spans="1:8" x14ac:dyDescent="0.2">
      <c r="A111" s="79" t="s">
        <v>4</v>
      </c>
      <c r="B111" s="14">
        <f t="shared" si="41"/>
        <v>276</v>
      </c>
      <c r="C111" s="75">
        <f t="shared" si="42"/>
        <v>8.9176090468497574E-2</v>
      </c>
      <c r="D111" s="222">
        <f t="shared" si="43"/>
        <v>100.45000000000002</v>
      </c>
      <c r="E111" s="210">
        <f t="shared" ref="E111:E121" si="44">D111/$E$1</f>
        <v>7.2422546807892424E-2</v>
      </c>
      <c r="F111" s="81"/>
      <c r="G111" s="81"/>
      <c r="H111" s="81"/>
    </row>
    <row r="112" spans="1:8" x14ac:dyDescent="0.2">
      <c r="A112" s="79" t="s">
        <v>22</v>
      </c>
      <c r="B112" s="14">
        <f t="shared" si="41"/>
        <v>351</v>
      </c>
      <c r="C112" s="75">
        <f>B112/$C$1</f>
        <v>0.11340872374798061</v>
      </c>
      <c r="D112" s="222">
        <f t="shared" si="43"/>
        <v>47.959000000000003</v>
      </c>
      <c r="E112" s="210">
        <f t="shared" si="44"/>
        <v>3.4577530337080262E-2</v>
      </c>
      <c r="F112" s="81"/>
      <c r="G112" s="81"/>
      <c r="H112" s="81"/>
    </row>
    <row r="113" spans="1:8" x14ac:dyDescent="0.2">
      <c r="A113" s="79" t="s">
        <v>363</v>
      </c>
      <c r="B113" s="14">
        <f t="shared" si="41"/>
        <v>138</v>
      </c>
      <c r="C113" s="75">
        <f t="shared" si="42"/>
        <v>4.4588045234248787E-2</v>
      </c>
      <c r="D113" s="222">
        <f t="shared" si="43"/>
        <v>67.62</v>
      </c>
      <c r="E113" s="210">
        <f t="shared" si="44"/>
        <v>4.875273882677636E-2</v>
      </c>
      <c r="F113" s="81"/>
      <c r="G113" s="81"/>
      <c r="H113" s="81"/>
    </row>
    <row r="114" spans="1:8" x14ac:dyDescent="0.2">
      <c r="A114" s="79" t="s">
        <v>615</v>
      </c>
      <c r="B114" s="14">
        <f t="shared" si="41"/>
        <v>60</v>
      </c>
      <c r="C114" s="75">
        <f t="shared" si="42"/>
        <v>1.9386106623586429E-2</v>
      </c>
      <c r="D114" s="222">
        <f t="shared" si="43"/>
        <v>30</v>
      </c>
      <c r="E114" s="210">
        <f t="shared" si="44"/>
        <v>2.1629431600166973E-2</v>
      </c>
      <c r="F114" s="81"/>
      <c r="G114" s="81"/>
      <c r="H114" s="81"/>
    </row>
    <row r="115" spans="1:8" x14ac:dyDescent="0.2">
      <c r="A115" s="79" t="s">
        <v>39</v>
      </c>
      <c r="B115" s="14">
        <f t="shared" si="41"/>
        <v>38</v>
      </c>
      <c r="C115" s="75">
        <f t="shared" si="42"/>
        <v>1.2277867528271405E-2</v>
      </c>
      <c r="D115" s="222">
        <f t="shared" si="43"/>
        <v>10.64</v>
      </c>
      <c r="E115" s="210">
        <f t="shared" si="44"/>
        <v>7.6712384075258867E-3</v>
      </c>
      <c r="F115" s="81"/>
      <c r="G115" s="81"/>
      <c r="H115" s="81"/>
    </row>
    <row r="116" spans="1:8" x14ac:dyDescent="0.2">
      <c r="A116" s="79" t="s">
        <v>93</v>
      </c>
      <c r="B116" s="14">
        <f t="shared" si="41"/>
        <v>27</v>
      </c>
      <c r="C116" s="75">
        <f t="shared" si="42"/>
        <v>8.7237479806138926E-3</v>
      </c>
      <c r="D116" s="222">
        <f t="shared" si="43"/>
        <v>8.4499999999999993</v>
      </c>
      <c r="E116" s="210">
        <f t="shared" si="44"/>
        <v>6.0922899007136962E-3</v>
      </c>
      <c r="F116" s="81"/>
      <c r="G116" s="81"/>
      <c r="H116" s="81"/>
    </row>
    <row r="117" spans="1:8" x14ac:dyDescent="0.2">
      <c r="A117" s="79" t="str">
        <f>E82</f>
        <v>Health and body care</v>
      </c>
      <c r="B117" s="14">
        <f t="shared" si="41"/>
        <v>32</v>
      </c>
      <c r="C117" s="75">
        <f t="shared" si="42"/>
        <v>1.0339256865912763E-2</v>
      </c>
      <c r="D117" s="222">
        <f t="shared" si="43"/>
        <v>4.3</v>
      </c>
      <c r="E117" s="210">
        <f t="shared" si="44"/>
        <v>3.100218529357266E-3</v>
      </c>
      <c r="F117" s="81"/>
      <c r="G117" s="81"/>
      <c r="H117" s="81"/>
    </row>
    <row r="118" spans="1:8" x14ac:dyDescent="0.2">
      <c r="A118" s="79" t="s">
        <v>616</v>
      </c>
      <c r="B118" s="14">
        <f t="shared" si="41"/>
        <v>14</v>
      </c>
      <c r="C118" s="75">
        <f>B118/$C$1</f>
        <v>4.5234248788368339E-3</v>
      </c>
      <c r="D118" s="222">
        <f t="shared" si="43"/>
        <v>2.8</v>
      </c>
      <c r="E118" s="210">
        <f t="shared" si="44"/>
        <v>2.0187469493489173E-3</v>
      </c>
      <c r="F118" s="81"/>
      <c r="G118" s="81"/>
      <c r="H118" s="81"/>
    </row>
    <row r="119" spans="1:8" x14ac:dyDescent="0.2">
      <c r="A119" s="79" t="str">
        <f>E87</f>
        <v>Dairy</v>
      </c>
      <c r="B119" s="14">
        <f t="shared" si="41"/>
        <v>5</v>
      </c>
      <c r="C119" s="75">
        <f t="shared" si="42"/>
        <v>1.6155088852988692E-3</v>
      </c>
      <c r="D119" s="222">
        <f t="shared" si="43"/>
        <v>1.1499999999999999</v>
      </c>
      <c r="E119" s="210">
        <f t="shared" si="44"/>
        <v>8.2912821133973385E-4</v>
      </c>
      <c r="F119" s="81"/>
      <c r="G119" s="81"/>
      <c r="H119" s="81"/>
    </row>
    <row r="120" spans="1:8" x14ac:dyDescent="0.2">
      <c r="A120" s="79" t="str">
        <f>E83</f>
        <v>Other goods</v>
      </c>
      <c r="B120" s="14">
        <f t="shared" si="41"/>
        <v>4</v>
      </c>
      <c r="C120" s="75">
        <f t="shared" si="42"/>
        <v>1.2924071082390954E-3</v>
      </c>
      <c r="D120" s="222">
        <f t="shared" si="43"/>
        <v>1.4</v>
      </c>
      <c r="E120" s="210">
        <f t="shared" si="44"/>
        <v>1.0093734746744586E-3</v>
      </c>
      <c r="F120" s="81"/>
      <c r="G120" s="81"/>
      <c r="H120" s="81"/>
    </row>
    <row r="121" spans="1:8" ht="17" thickBot="1" x14ac:dyDescent="0.25">
      <c r="A121" s="84" t="str">
        <f>E58</f>
        <v>Water</v>
      </c>
      <c r="B121" s="31">
        <f t="shared" si="41"/>
        <v>5</v>
      </c>
      <c r="C121" s="85">
        <f>B121/$C$1</f>
        <v>1.6155088852988692E-3</v>
      </c>
      <c r="D121" s="223">
        <f t="shared" si="43"/>
        <v>2.85</v>
      </c>
      <c r="E121" s="212">
        <f t="shared" si="44"/>
        <v>2.0547960020158625E-3</v>
      </c>
      <c r="F121" s="81"/>
      <c r="G121" s="81"/>
      <c r="H121" s="81"/>
    </row>
    <row r="122" spans="1:8" x14ac:dyDescent="0.2">
      <c r="A122" s="216"/>
      <c r="B122" s="77">
        <f>SUM(B110:B121)-$C$1</f>
        <v>0</v>
      </c>
      <c r="C122" s="82"/>
      <c r="D122" s="218">
        <f>SUM(D110:D121)-E1</f>
        <v>0</v>
      </c>
      <c r="E122" s="81"/>
      <c r="F122" s="81"/>
      <c r="G122" s="81"/>
      <c r="H122" s="81"/>
    </row>
    <row r="123" spans="1:8" x14ac:dyDescent="0.2">
      <c r="A123" s="216"/>
      <c r="B123" s="76"/>
      <c r="C123" s="82"/>
      <c r="D123" s="80"/>
      <c r="E123" s="81"/>
      <c r="F123" s="81"/>
      <c r="G123" s="81"/>
      <c r="H123" s="81"/>
    </row>
    <row r="124" spans="1:8" x14ac:dyDescent="0.2">
      <c r="A124" s="216"/>
      <c r="B124" s="76"/>
      <c r="C124" s="82"/>
      <c r="D124" s="80"/>
      <c r="E124" s="81"/>
      <c r="F124" s="81"/>
      <c r="G124" s="81"/>
      <c r="H124" s="81"/>
    </row>
    <row r="125" spans="1:8" x14ac:dyDescent="0.2">
      <c r="A125" s="1"/>
      <c r="B125" s="1"/>
      <c r="C125" s="6"/>
      <c r="D125" s="6"/>
      <c r="E125" s="5"/>
      <c r="F125" s="5"/>
      <c r="G125" s="5"/>
      <c r="H125" s="5"/>
    </row>
    <row r="126" spans="1:8" ht="17" thickBot="1" x14ac:dyDescent="0.25">
      <c r="A126" s="1"/>
      <c r="B126" s="1"/>
      <c r="C126" s="6"/>
      <c r="D126" s="6"/>
      <c r="E126" s="5"/>
      <c r="F126" s="5"/>
      <c r="G126" s="5"/>
      <c r="H126" s="5"/>
    </row>
    <row r="127" spans="1:8" x14ac:dyDescent="0.2">
      <c r="A127" s="416" t="s">
        <v>128</v>
      </c>
      <c r="B127" s="417"/>
      <c r="C127" s="417"/>
      <c r="D127" s="417"/>
      <c r="E127" s="418"/>
      <c r="F127" s="81"/>
      <c r="G127" s="81"/>
      <c r="H127" s="81"/>
    </row>
    <row r="128" spans="1:8" x14ac:dyDescent="0.2">
      <c r="A128" s="213" t="s">
        <v>618</v>
      </c>
      <c r="B128" s="208" t="s">
        <v>614</v>
      </c>
      <c r="C128" s="209"/>
      <c r="D128" s="214" t="s">
        <v>617</v>
      </c>
      <c r="E128" s="215"/>
      <c r="F128" s="81"/>
      <c r="G128" s="81"/>
      <c r="H128" s="81"/>
    </row>
    <row r="129" spans="1:8" x14ac:dyDescent="0.2">
      <c r="A129" s="79" t="s">
        <v>6</v>
      </c>
      <c r="B129" s="14">
        <f>SUMIF($G$4:$G$87,A129,$C$4:$C$87)</f>
        <v>2394</v>
      </c>
      <c r="C129" s="75">
        <f>B129/$C$1</f>
        <v>0.77350565428109852</v>
      </c>
      <c r="D129" s="14">
        <f>SUMIF($G$4:$G$87,A129,$I$4:$I$87)</f>
        <v>1202.2200000000007</v>
      </c>
      <c r="E129" s="210">
        <f>D129/$E$1</f>
        <v>0.86677784194509178</v>
      </c>
      <c r="F129" s="81"/>
      <c r="G129" s="81"/>
      <c r="H129" s="81"/>
    </row>
    <row r="130" spans="1:8" ht="17" thickBot="1" x14ac:dyDescent="0.25">
      <c r="A130" s="84" t="s">
        <v>7</v>
      </c>
      <c r="B130" s="31">
        <f>SUMIF($G$39:$G$107,A130,$C$39:$C$107)</f>
        <v>701</v>
      </c>
      <c r="C130" s="85">
        <f>B130/$C$1</f>
        <v>0.22649434571890145</v>
      </c>
      <c r="D130" s="31">
        <f>SUMIF($G$4:$G$87,A130,$I$4:$I$87)</f>
        <v>184.77900000000002</v>
      </c>
      <c r="E130" s="212">
        <f t="shared" ref="E130" si="45">D130/$E$1</f>
        <v>0.13322215805490845</v>
      </c>
      <c r="F130" s="81"/>
      <c r="G130" s="81"/>
      <c r="H130" s="81"/>
    </row>
    <row r="131" spans="1:8" x14ac:dyDescent="0.2">
      <c r="A131" s="76"/>
      <c r="B131" s="77">
        <f>B129+B130-$C$1</f>
        <v>0</v>
      </c>
      <c r="C131" s="82"/>
      <c r="D131" s="218">
        <f>SUM(D129:D130)-E1</f>
        <v>0</v>
      </c>
      <c r="E131" s="81"/>
      <c r="F131" s="81"/>
      <c r="G131" s="81"/>
      <c r="H131" s="81"/>
    </row>
    <row r="132" spans="1:8" x14ac:dyDescent="0.2">
      <c r="A132" s="82"/>
      <c r="B132" s="82"/>
      <c r="C132" s="80"/>
      <c r="D132" s="80"/>
      <c r="E132" s="81"/>
      <c r="F132" s="81"/>
      <c r="G132" s="81"/>
      <c r="H132" s="81"/>
    </row>
    <row r="133" spans="1:8" x14ac:dyDescent="0.2">
      <c r="A133" s="82"/>
      <c r="B133" s="82"/>
      <c r="C133" s="80"/>
      <c r="D133" s="80"/>
      <c r="E133" s="81"/>
      <c r="F133" s="81"/>
      <c r="G133" s="81"/>
      <c r="H133" s="81"/>
    </row>
    <row r="134" spans="1:8" x14ac:dyDescent="0.2">
      <c r="A134" s="82"/>
      <c r="B134" s="82"/>
      <c r="C134" s="80"/>
      <c r="D134" s="80"/>
      <c r="E134" s="81"/>
      <c r="F134" s="81"/>
      <c r="G134" s="81"/>
      <c r="H134" s="81"/>
    </row>
    <row r="135" spans="1:8" x14ac:dyDescent="0.2">
      <c r="A135" s="82"/>
      <c r="B135" s="82"/>
      <c r="C135" s="80"/>
      <c r="D135" s="80"/>
      <c r="E135" s="81"/>
      <c r="F135" s="81"/>
      <c r="G135" s="81"/>
      <c r="H135" s="81"/>
    </row>
    <row r="136" spans="1:8" x14ac:dyDescent="0.2">
      <c r="A136" s="82"/>
      <c r="B136" s="82"/>
      <c r="C136" s="80"/>
      <c r="D136" s="80"/>
      <c r="E136" s="81"/>
      <c r="F136" s="81"/>
      <c r="G136" s="81"/>
      <c r="H136" s="81"/>
    </row>
    <row r="137" spans="1:8" x14ac:dyDescent="0.2">
      <c r="A137" s="82"/>
      <c r="B137" s="82"/>
      <c r="C137" s="80"/>
      <c r="D137" s="80"/>
      <c r="E137" s="81"/>
      <c r="F137" s="81"/>
      <c r="G137" s="81"/>
      <c r="H137" s="81"/>
    </row>
    <row r="138" spans="1:8" x14ac:dyDescent="0.2">
      <c r="A138" s="82"/>
      <c r="B138" s="82"/>
      <c r="C138" s="80"/>
      <c r="D138" s="80"/>
      <c r="E138" s="81"/>
      <c r="F138" s="81"/>
      <c r="G138" s="81"/>
      <c r="H138" s="81"/>
    </row>
    <row r="139" spans="1:8" x14ac:dyDescent="0.2">
      <c r="A139" s="82"/>
      <c r="B139" s="82"/>
      <c r="C139" s="80"/>
      <c r="D139" s="80"/>
      <c r="E139" s="81"/>
      <c r="F139" s="81"/>
      <c r="G139" s="81"/>
      <c r="H139" s="81"/>
    </row>
    <row r="140" spans="1:8" x14ac:dyDescent="0.2">
      <c r="A140" s="82"/>
      <c r="B140" s="82"/>
      <c r="C140" s="80"/>
      <c r="D140" s="80"/>
      <c r="E140" s="81"/>
      <c r="F140" s="81"/>
      <c r="G140" s="81"/>
      <c r="H140" s="81"/>
    </row>
    <row r="141" spans="1:8" x14ac:dyDescent="0.2">
      <c r="A141" s="82"/>
      <c r="B141" s="82"/>
      <c r="C141" s="80"/>
      <c r="D141" s="80"/>
      <c r="E141" s="81"/>
      <c r="F141" s="81"/>
      <c r="G141" s="81"/>
      <c r="H141" s="81"/>
    </row>
    <row r="142" spans="1:8" x14ac:dyDescent="0.2">
      <c r="A142" s="82"/>
      <c r="B142" s="82"/>
      <c r="C142" s="80"/>
      <c r="D142" s="80"/>
      <c r="E142" s="81"/>
      <c r="F142" s="81"/>
      <c r="G142" s="81"/>
      <c r="H142" s="81"/>
    </row>
    <row r="143" spans="1:8" x14ac:dyDescent="0.2">
      <c r="A143" s="1"/>
      <c r="B143" s="1"/>
      <c r="C143" s="6"/>
      <c r="D143" s="6"/>
      <c r="E143" s="5"/>
      <c r="F143" s="5"/>
      <c r="G143" s="5"/>
      <c r="H143" s="5"/>
    </row>
    <row r="144" spans="1:8" ht="17" thickBot="1" x14ac:dyDescent="0.25">
      <c r="A144" s="1"/>
      <c r="B144" s="1"/>
      <c r="C144" s="6"/>
      <c r="D144" s="6"/>
      <c r="E144" s="5"/>
      <c r="F144" s="5"/>
      <c r="G144" s="5"/>
      <c r="H144" s="5"/>
    </row>
    <row r="145" spans="1:8" x14ac:dyDescent="0.2">
      <c r="A145" s="416" t="s">
        <v>619</v>
      </c>
      <c r="B145" s="417"/>
      <c r="C145" s="417"/>
      <c r="D145" s="417"/>
      <c r="E145" s="418"/>
      <c r="F145" s="81"/>
      <c r="G145" s="81"/>
      <c r="H145" s="81"/>
    </row>
    <row r="146" spans="1:8" x14ac:dyDescent="0.2">
      <c r="A146" s="213" t="s">
        <v>622</v>
      </c>
      <c r="B146" s="208" t="s">
        <v>614</v>
      </c>
      <c r="C146" s="209"/>
      <c r="D146" s="214" t="s">
        <v>617</v>
      </c>
      <c r="E146" s="215"/>
      <c r="F146" s="81"/>
      <c r="G146" s="81"/>
      <c r="H146" s="81"/>
    </row>
    <row r="147" spans="1:8" x14ac:dyDescent="0.2">
      <c r="A147" s="332" t="str">
        <f>H4</f>
        <v xml:space="preserve">Reusing </v>
      </c>
      <c r="B147" s="14">
        <f>SUMIF($H$4:$H$87,A147,$C$4:$C$87)</f>
        <v>2079</v>
      </c>
      <c r="C147" s="75">
        <f>B147/$C$1</f>
        <v>0.67172859450726974</v>
      </c>
      <c r="D147" s="14">
        <f>SUMIF($H$4:$H$87,A147,$I$4:$I$87)</f>
        <v>1026.9900000000002</v>
      </c>
      <c r="E147" s="210">
        <f>D147/$E$1</f>
        <v>0.74044033196851611</v>
      </c>
      <c r="F147" s="81"/>
      <c r="G147" s="81"/>
      <c r="H147" s="81"/>
    </row>
    <row r="148" spans="1:8" ht="17" thickBot="1" x14ac:dyDescent="0.25">
      <c r="A148" s="367" t="str">
        <f>H60</f>
        <v>Downcycling</v>
      </c>
      <c r="B148" s="31">
        <f>SUMIF($H$4:$H$107,A148,$C$4:$C$107)</f>
        <v>1016</v>
      </c>
      <c r="C148" s="85">
        <f>B148/$C$1</f>
        <v>0.32827140549273021</v>
      </c>
      <c r="D148" s="31">
        <f>SUMIF($H$4:$H$87,A148,$I$4:$I$87)</f>
        <v>360.00899999999996</v>
      </c>
      <c r="E148" s="212">
        <f>D148/$E$1</f>
        <v>0.25955966803148367</v>
      </c>
      <c r="F148" s="81"/>
      <c r="G148" s="81"/>
      <c r="H148" s="81"/>
    </row>
    <row r="149" spans="1:8" x14ac:dyDescent="0.2">
      <c r="A149" s="219"/>
      <c r="B149" s="77">
        <f>B147+B148-$C$1</f>
        <v>0</v>
      </c>
      <c r="C149" s="82"/>
      <c r="D149" s="80"/>
      <c r="E149" s="81"/>
      <c r="F149" s="81"/>
      <c r="G149" s="81"/>
      <c r="H149" s="81"/>
    </row>
    <row r="150" spans="1:8" x14ac:dyDescent="0.2">
      <c r="A150" s="220"/>
      <c r="B150" s="82"/>
      <c r="C150" s="80"/>
      <c r="D150" s="80"/>
      <c r="E150" s="81"/>
      <c r="F150" s="81"/>
      <c r="G150" s="81"/>
      <c r="H150" s="81"/>
    </row>
    <row r="151" spans="1:8" x14ac:dyDescent="0.2">
      <c r="A151" s="82"/>
      <c r="B151" s="82"/>
      <c r="C151" s="80"/>
      <c r="D151" s="80"/>
      <c r="E151" s="81"/>
      <c r="F151" s="81"/>
      <c r="G151" s="81"/>
      <c r="H151" s="81"/>
    </row>
    <row r="152" spans="1:8" x14ac:dyDescent="0.2">
      <c r="A152" s="82"/>
      <c r="B152" s="82"/>
      <c r="C152" s="352"/>
      <c r="D152" s="80"/>
      <c r="E152" s="81"/>
      <c r="F152" s="81"/>
      <c r="G152" s="81"/>
      <c r="H152" s="81"/>
    </row>
    <row r="153" spans="1:8" x14ac:dyDescent="0.2">
      <c r="A153" s="82"/>
      <c r="B153" s="82"/>
      <c r="C153" s="80"/>
      <c r="D153" s="80"/>
      <c r="E153" s="81"/>
      <c r="F153" s="81"/>
      <c r="G153" s="81"/>
      <c r="H153" s="81"/>
    </row>
    <row r="154" spans="1:8" x14ac:dyDescent="0.2">
      <c r="A154" s="82"/>
      <c r="B154" s="82"/>
      <c r="C154" s="80"/>
      <c r="D154" s="80"/>
      <c r="E154" s="81"/>
      <c r="F154" s="81"/>
      <c r="G154" s="81"/>
      <c r="H154" s="81"/>
    </row>
    <row r="155" spans="1:8" x14ac:dyDescent="0.2">
      <c r="A155" s="82"/>
      <c r="B155" s="82"/>
      <c r="C155" s="80"/>
      <c r="D155" s="80"/>
      <c r="E155" s="81"/>
      <c r="F155" s="81"/>
      <c r="G155" s="81"/>
      <c r="H155" s="81"/>
    </row>
    <row r="156" spans="1:8" x14ac:dyDescent="0.2">
      <c r="A156" s="82"/>
      <c r="B156" s="82"/>
      <c r="C156" s="80"/>
      <c r="D156" s="80"/>
      <c r="E156" s="81"/>
      <c r="F156" s="81"/>
      <c r="G156" s="81"/>
      <c r="H156" s="81"/>
    </row>
    <row r="157" spans="1:8" x14ac:dyDescent="0.2">
      <c r="A157" s="82"/>
      <c r="B157" s="82"/>
      <c r="C157" s="80"/>
      <c r="D157" s="80"/>
      <c r="E157" s="81"/>
      <c r="F157" s="81"/>
      <c r="G157" s="81"/>
      <c r="H157" s="81"/>
    </row>
    <row r="158" spans="1:8" x14ac:dyDescent="0.2">
      <c r="A158" s="82"/>
      <c r="B158" s="82"/>
      <c r="C158" s="80"/>
      <c r="D158" s="80"/>
      <c r="E158" s="81"/>
      <c r="F158" s="81"/>
      <c r="G158" s="81"/>
      <c r="H158" s="81"/>
    </row>
    <row r="159" spans="1:8" x14ac:dyDescent="0.2">
      <c r="A159" s="82"/>
      <c r="B159" s="82"/>
      <c r="C159" s="80"/>
      <c r="D159" s="80"/>
      <c r="E159" s="81"/>
      <c r="F159" s="81"/>
      <c r="G159" s="81"/>
      <c r="H159" s="81"/>
    </row>
    <row r="160" spans="1:8" x14ac:dyDescent="0.2">
      <c r="A160" s="82"/>
      <c r="B160" s="82"/>
      <c r="C160" s="80"/>
      <c r="D160" s="80"/>
      <c r="E160" s="81"/>
      <c r="F160" s="81"/>
      <c r="G160" s="81"/>
      <c r="H160" s="81"/>
    </row>
    <row r="161" spans="1:8" x14ac:dyDescent="0.2">
      <c r="A161" s="1"/>
      <c r="B161" s="1"/>
      <c r="C161" s="6"/>
      <c r="D161" s="6"/>
      <c r="E161" s="5"/>
      <c r="F161" s="5"/>
      <c r="G161" s="5"/>
      <c r="H161" s="5"/>
    </row>
  </sheetData>
  <mergeCells count="6">
    <mergeCell ref="A145:E145"/>
    <mergeCell ref="C3:D3"/>
    <mergeCell ref="C1:D1"/>
    <mergeCell ref="A90:E90"/>
    <mergeCell ref="A108:E108"/>
    <mergeCell ref="A127:E1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0599-BA25-4643-81B9-507B52686FD5}">
  <sheetPr>
    <tabColor rgb="FFFCBCBF"/>
  </sheetPr>
  <dimension ref="A1:K127"/>
  <sheetViews>
    <sheetView zoomScaleNormal="100" workbookViewId="0"/>
  </sheetViews>
  <sheetFormatPr baseColWidth="10" defaultColWidth="10.6640625" defaultRowHeight="16" x14ac:dyDescent="0.2"/>
  <cols>
    <col min="1" max="1" width="26.33203125" style="1" customWidth="1"/>
    <col min="2" max="2" width="33.1640625" style="1" customWidth="1"/>
    <col min="3" max="4" width="7" customWidth="1"/>
    <col min="5" max="5" width="15.1640625" customWidth="1"/>
    <col min="6" max="6" width="11.83203125" customWidth="1"/>
    <col min="7" max="7" width="12" customWidth="1"/>
    <col min="8" max="8" width="18.83203125" customWidth="1"/>
    <col min="9" max="9" width="11.6640625" style="157" customWidth="1"/>
    <col min="10" max="10" width="11.6640625" style="158" customWidth="1"/>
    <col min="11" max="11" width="10.83203125" style="143"/>
  </cols>
  <sheetData>
    <row r="1" spans="1:11" s="4" customFormat="1" ht="34" x14ac:dyDescent="0.4">
      <c r="A1" s="3" t="s">
        <v>11</v>
      </c>
      <c r="B1" s="152"/>
      <c r="C1" s="420">
        <f>SUM(C4:C52)</f>
        <v>639</v>
      </c>
      <c r="D1" s="420"/>
      <c r="E1" s="108">
        <f>SUM(I4:I52)</f>
        <v>182.63</v>
      </c>
      <c r="F1" s="107" t="s">
        <v>236</v>
      </c>
      <c r="I1" s="155">
        <f>E1-SUM(K4:K52)</f>
        <v>0</v>
      </c>
      <c r="J1" s="156"/>
      <c r="K1" s="142"/>
    </row>
    <row r="2" spans="1:11" ht="17" thickBot="1" x14ac:dyDescent="0.25">
      <c r="D2" s="8"/>
    </row>
    <row r="3" spans="1:11" s="1" customFormat="1" ht="34" customHeight="1" thickBot="1" x14ac:dyDescent="0.25">
      <c r="A3" s="58" t="s">
        <v>20</v>
      </c>
      <c r="B3" s="59" t="s">
        <v>2</v>
      </c>
      <c r="C3" s="421" t="s">
        <v>3</v>
      </c>
      <c r="D3" s="421"/>
      <c r="E3" s="59" t="s">
        <v>1</v>
      </c>
      <c r="F3" s="59" t="s">
        <v>186</v>
      </c>
      <c r="G3" s="59" t="s">
        <v>5</v>
      </c>
      <c r="H3" s="95" t="s">
        <v>16</v>
      </c>
      <c r="I3" s="163" t="s">
        <v>367</v>
      </c>
      <c r="J3" s="168" t="s">
        <v>368</v>
      </c>
      <c r="K3" s="144"/>
    </row>
    <row r="4" spans="1:11" x14ac:dyDescent="0.2">
      <c r="A4" s="167" t="s">
        <v>699</v>
      </c>
      <c r="B4" s="371" t="s">
        <v>412</v>
      </c>
      <c r="C4" s="57">
        <v>2</v>
      </c>
      <c r="D4" s="164">
        <f>C4/$C$1</f>
        <v>3.1298904538341159E-3</v>
      </c>
      <c r="E4" s="57" t="s">
        <v>616</v>
      </c>
      <c r="F4" s="57" t="s">
        <v>311</v>
      </c>
      <c r="G4" s="57" t="s">
        <v>6</v>
      </c>
      <c r="H4" s="57" t="s">
        <v>697</v>
      </c>
      <c r="I4" s="165">
        <f t="shared" ref="I4:I13" si="0">C4*J4/1000</f>
        <v>1.3</v>
      </c>
      <c r="J4" s="166">
        <v>650</v>
      </c>
      <c r="K4" s="143">
        <f>J4*C4/1000</f>
        <v>1.3</v>
      </c>
    </row>
    <row r="5" spans="1:11" x14ac:dyDescent="0.2">
      <c r="A5" s="167" t="s">
        <v>699</v>
      </c>
      <c r="B5" s="371" t="s">
        <v>721</v>
      </c>
      <c r="C5" s="57">
        <v>10</v>
      </c>
      <c r="D5" s="164">
        <f>C5/$C$1</f>
        <v>1.5649452269170579E-2</v>
      </c>
      <c r="E5" s="57" t="s">
        <v>616</v>
      </c>
      <c r="F5" s="57" t="s">
        <v>311</v>
      </c>
      <c r="G5" s="57" t="s">
        <v>6</v>
      </c>
      <c r="H5" s="57" t="s">
        <v>697</v>
      </c>
      <c r="I5" s="165">
        <f t="shared" si="0"/>
        <v>3.6</v>
      </c>
      <c r="J5" s="166">
        <v>360</v>
      </c>
      <c r="K5" s="143">
        <f>J5*C5/1000</f>
        <v>3.6</v>
      </c>
    </row>
    <row r="6" spans="1:11" x14ac:dyDescent="0.2">
      <c r="A6" s="167" t="s">
        <v>699</v>
      </c>
      <c r="B6" s="91" t="s">
        <v>389</v>
      </c>
      <c r="C6" s="16">
        <v>27</v>
      </c>
      <c r="D6" s="150">
        <f t="shared" ref="D6" si="1">C6/$C$1</f>
        <v>4.2253521126760563E-2</v>
      </c>
      <c r="E6" s="16" t="s">
        <v>616</v>
      </c>
      <c r="F6" s="16" t="s">
        <v>311</v>
      </c>
      <c r="G6" s="16" t="s">
        <v>6</v>
      </c>
      <c r="H6" s="16" t="s">
        <v>697</v>
      </c>
      <c r="I6" s="161">
        <f t="shared" si="0"/>
        <v>8.64</v>
      </c>
      <c r="J6" s="162">
        <v>320</v>
      </c>
      <c r="K6" s="143">
        <f t="shared" ref="K6:K52" si="2">J6*C6/1000</f>
        <v>8.64</v>
      </c>
    </row>
    <row r="7" spans="1:11" x14ac:dyDescent="0.2">
      <c r="A7" s="167" t="s">
        <v>699</v>
      </c>
      <c r="B7" s="91" t="s">
        <v>396</v>
      </c>
      <c r="C7" s="16">
        <v>12</v>
      </c>
      <c r="D7" s="150">
        <f t="shared" ref="D7:D12" si="3">C7/$C$1</f>
        <v>1.8779342723004695E-2</v>
      </c>
      <c r="E7" s="16" t="s">
        <v>616</v>
      </c>
      <c r="F7" s="16" t="s">
        <v>311</v>
      </c>
      <c r="G7" s="16" t="s">
        <v>6</v>
      </c>
      <c r="H7" s="16" t="s">
        <v>697</v>
      </c>
      <c r="I7" s="161">
        <f t="shared" si="0"/>
        <v>3.84</v>
      </c>
      <c r="J7" s="162">
        <v>320</v>
      </c>
      <c r="K7" s="143">
        <f t="shared" si="2"/>
        <v>3.84</v>
      </c>
    </row>
    <row r="8" spans="1:11" x14ac:dyDescent="0.2">
      <c r="A8" s="167" t="s">
        <v>699</v>
      </c>
      <c r="B8" s="91" t="s">
        <v>398</v>
      </c>
      <c r="C8" s="16">
        <v>72</v>
      </c>
      <c r="D8" s="150">
        <f t="shared" si="3"/>
        <v>0.11267605633802817</v>
      </c>
      <c r="E8" s="16" t="s">
        <v>616</v>
      </c>
      <c r="F8" s="16" t="s">
        <v>311</v>
      </c>
      <c r="G8" s="16" t="s">
        <v>6</v>
      </c>
      <c r="H8" s="16" t="s">
        <v>697</v>
      </c>
      <c r="I8" s="161">
        <f t="shared" si="0"/>
        <v>20.16</v>
      </c>
      <c r="J8" s="162">
        <v>280</v>
      </c>
      <c r="K8" s="143">
        <f t="shared" si="2"/>
        <v>20.16</v>
      </c>
    </row>
    <row r="9" spans="1:11" x14ac:dyDescent="0.2">
      <c r="A9" s="167" t="s">
        <v>699</v>
      </c>
      <c r="B9" s="91" t="s">
        <v>395</v>
      </c>
      <c r="C9" s="16">
        <v>10</v>
      </c>
      <c r="D9" s="150">
        <f t="shared" si="3"/>
        <v>1.5649452269170579E-2</v>
      </c>
      <c r="E9" s="16" t="s">
        <v>616</v>
      </c>
      <c r="F9" s="16" t="s">
        <v>311</v>
      </c>
      <c r="G9" s="16" t="s">
        <v>6</v>
      </c>
      <c r="H9" s="16" t="s">
        <v>697</v>
      </c>
      <c r="I9" s="161">
        <f t="shared" si="0"/>
        <v>1.9</v>
      </c>
      <c r="J9" s="162">
        <v>190</v>
      </c>
      <c r="K9" s="143">
        <f t="shared" si="2"/>
        <v>1.9</v>
      </c>
    </row>
    <row r="10" spans="1:11" x14ac:dyDescent="0.2">
      <c r="A10" s="167" t="s">
        <v>699</v>
      </c>
      <c r="B10" s="91" t="s">
        <v>408</v>
      </c>
      <c r="C10" s="16">
        <v>4</v>
      </c>
      <c r="D10" s="150">
        <f t="shared" si="3"/>
        <v>6.2597809076682318E-3</v>
      </c>
      <c r="E10" s="16" t="s">
        <v>616</v>
      </c>
      <c r="F10" s="16" t="s">
        <v>311</v>
      </c>
      <c r="G10" s="16" t="s">
        <v>6</v>
      </c>
      <c r="H10" s="16" t="s">
        <v>697</v>
      </c>
      <c r="I10" s="161">
        <f t="shared" si="0"/>
        <v>0.92</v>
      </c>
      <c r="J10" s="162">
        <v>230</v>
      </c>
      <c r="K10" s="143">
        <f t="shared" si="2"/>
        <v>0.92</v>
      </c>
    </row>
    <row r="11" spans="1:11" ht="17" thickBot="1" x14ac:dyDescent="0.25">
      <c r="A11" s="175" t="s">
        <v>699</v>
      </c>
      <c r="B11" s="304" t="s">
        <v>409</v>
      </c>
      <c r="C11" s="54">
        <v>4</v>
      </c>
      <c r="D11" s="176">
        <f t="shared" si="3"/>
        <v>6.2597809076682318E-3</v>
      </c>
      <c r="E11" s="54" t="s">
        <v>616</v>
      </c>
      <c r="F11" s="54" t="s">
        <v>311</v>
      </c>
      <c r="G11" s="54" t="s">
        <v>6</v>
      </c>
      <c r="H11" s="54" t="s">
        <v>697</v>
      </c>
      <c r="I11" s="177">
        <f t="shared" si="0"/>
        <v>0.6</v>
      </c>
      <c r="J11" s="178">
        <v>150</v>
      </c>
      <c r="K11" s="143">
        <f t="shared" si="2"/>
        <v>0.6</v>
      </c>
    </row>
    <row r="12" spans="1:11" x14ac:dyDescent="0.2">
      <c r="A12" s="22" t="s">
        <v>416</v>
      </c>
      <c r="B12" s="202" t="s">
        <v>413</v>
      </c>
      <c r="C12" s="26">
        <v>4</v>
      </c>
      <c r="D12" s="151">
        <f t="shared" si="3"/>
        <v>6.2597809076682318E-3</v>
      </c>
      <c r="E12" s="26" t="s">
        <v>616</v>
      </c>
      <c r="F12" s="26" t="s">
        <v>311</v>
      </c>
      <c r="G12" s="26" t="s">
        <v>7</v>
      </c>
      <c r="H12" s="26" t="s">
        <v>697</v>
      </c>
      <c r="I12" s="159">
        <f t="shared" si="0"/>
        <v>2.6</v>
      </c>
      <c r="J12" s="160">
        <v>650</v>
      </c>
      <c r="K12" s="143">
        <f t="shared" si="2"/>
        <v>2.6</v>
      </c>
    </row>
    <row r="13" spans="1:11" x14ac:dyDescent="0.2">
      <c r="A13" s="28" t="s">
        <v>416</v>
      </c>
      <c r="B13" s="91" t="s">
        <v>722</v>
      </c>
      <c r="C13" s="16">
        <v>10</v>
      </c>
      <c r="D13" s="150">
        <f t="shared" ref="D13:D52" si="4">C13/$C$1</f>
        <v>1.5649452269170579E-2</v>
      </c>
      <c r="E13" s="16" t="s">
        <v>616</v>
      </c>
      <c r="F13" s="16" t="s">
        <v>311</v>
      </c>
      <c r="G13" s="16" t="s">
        <v>7</v>
      </c>
      <c r="H13" s="149" t="s">
        <v>697</v>
      </c>
      <c r="I13" s="161">
        <f t="shared" si="0"/>
        <v>3.6</v>
      </c>
      <c r="J13" s="162">
        <v>360</v>
      </c>
      <c r="K13" s="143">
        <f t="shared" si="2"/>
        <v>3.6</v>
      </c>
    </row>
    <row r="14" spans="1:11" x14ac:dyDescent="0.2">
      <c r="A14" s="28" t="s">
        <v>416</v>
      </c>
      <c r="B14" s="91" t="s">
        <v>390</v>
      </c>
      <c r="C14" s="16">
        <v>18</v>
      </c>
      <c r="D14" s="150">
        <f t="shared" si="4"/>
        <v>2.8169014084507043E-2</v>
      </c>
      <c r="E14" s="16" t="s">
        <v>616</v>
      </c>
      <c r="F14" s="16" t="s">
        <v>311</v>
      </c>
      <c r="G14" s="16" t="s">
        <v>7</v>
      </c>
      <c r="H14" s="16" t="s">
        <v>697</v>
      </c>
      <c r="I14" s="161">
        <f t="shared" ref="I14" si="5">C14*J14/1000</f>
        <v>5.76</v>
      </c>
      <c r="J14" s="162">
        <v>320</v>
      </c>
      <c r="K14" s="143">
        <f t="shared" si="2"/>
        <v>5.76</v>
      </c>
    </row>
    <row r="15" spans="1:11" x14ac:dyDescent="0.2">
      <c r="A15" s="28" t="s">
        <v>416</v>
      </c>
      <c r="B15" s="91" t="s">
        <v>399</v>
      </c>
      <c r="C15" s="16">
        <v>17</v>
      </c>
      <c r="D15" s="150">
        <f t="shared" ref="D15" si="6">C15/$C$1</f>
        <v>2.6604068857589983E-2</v>
      </c>
      <c r="E15" s="16" t="s">
        <v>616</v>
      </c>
      <c r="F15" s="16" t="s">
        <v>311</v>
      </c>
      <c r="G15" s="16" t="s">
        <v>7</v>
      </c>
      <c r="H15" s="16" t="s">
        <v>697</v>
      </c>
      <c r="I15" s="161">
        <f t="shared" ref="I15" si="7">C15*J15/1000</f>
        <v>4.76</v>
      </c>
      <c r="J15" s="162">
        <v>280</v>
      </c>
      <c r="K15" s="143">
        <f t="shared" si="2"/>
        <v>4.76</v>
      </c>
    </row>
    <row r="16" spans="1:11" x14ac:dyDescent="0.2">
      <c r="A16" s="28" t="s">
        <v>416</v>
      </c>
      <c r="B16" s="91" t="s">
        <v>397</v>
      </c>
      <c r="C16" s="16">
        <v>2</v>
      </c>
      <c r="D16" s="150">
        <f>C16/$C$1</f>
        <v>3.1298904538341159E-3</v>
      </c>
      <c r="E16" s="16" t="s">
        <v>616</v>
      </c>
      <c r="F16" s="16" t="s">
        <v>311</v>
      </c>
      <c r="G16" s="16" t="s">
        <v>7</v>
      </c>
      <c r="H16" s="16" t="s">
        <v>697</v>
      </c>
      <c r="I16" s="161">
        <f>C16*J16/1000</f>
        <v>0.38</v>
      </c>
      <c r="J16" s="162">
        <v>190</v>
      </c>
      <c r="K16" s="143">
        <f t="shared" si="2"/>
        <v>0.38</v>
      </c>
    </row>
    <row r="17" spans="1:11" ht="17" thickBot="1" x14ac:dyDescent="0.25">
      <c r="A17" s="30" t="s">
        <v>416</v>
      </c>
      <c r="B17" s="169" t="s">
        <v>410</v>
      </c>
      <c r="C17" s="34">
        <v>17</v>
      </c>
      <c r="D17" s="170">
        <f>C17/$C$1</f>
        <v>2.6604068857589983E-2</v>
      </c>
      <c r="E17" s="34" t="s">
        <v>616</v>
      </c>
      <c r="F17" s="34" t="s">
        <v>311</v>
      </c>
      <c r="G17" s="34" t="s">
        <v>7</v>
      </c>
      <c r="H17" s="34" t="s">
        <v>387</v>
      </c>
      <c r="I17" s="171">
        <f>C17*J17/1000</f>
        <v>4.25</v>
      </c>
      <c r="J17" s="172">
        <v>250</v>
      </c>
      <c r="K17" s="143">
        <f t="shared" si="2"/>
        <v>4.25</v>
      </c>
    </row>
    <row r="18" spans="1:11" x14ac:dyDescent="0.2">
      <c r="A18" s="167" t="s">
        <v>386</v>
      </c>
      <c r="B18" s="371" t="s">
        <v>414</v>
      </c>
      <c r="C18" s="57">
        <v>2</v>
      </c>
      <c r="D18" s="164">
        <f>C18/$C$1</f>
        <v>3.1298904538341159E-3</v>
      </c>
      <c r="E18" s="57" t="s">
        <v>616</v>
      </c>
      <c r="F18" s="57" t="s">
        <v>311</v>
      </c>
      <c r="G18" s="57" t="s">
        <v>6</v>
      </c>
      <c r="H18" s="57" t="s">
        <v>697</v>
      </c>
      <c r="I18" s="165">
        <f>C18*J18/1000</f>
        <v>1.3</v>
      </c>
      <c r="J18" s="166">
        <v>650</v>
      </c>
      <c r="K18" s="143">
        <f t="shared" si="2"/>
        <v>1.3</v>
      </c>
    </row>
    <row r="19" spans="1:11" x14ac:dyDescent="0.2">
      <c r="A19" s="167" t="s">
        <v>386</v>
      </c>
      <c r="B19" s="371" t="s">
        <v>723</v>
      </c>
      <c r="C19" s="57">
        <v>4</v>
      </c>
      <c r="D19" s="164">
        <f t="shared" ref="D19:D20" si="8">C19/$C$1</f>
        <v>6.2597809076682318E-3</v>
      </c>
      <c r="E19" s="57" t="s">
        <v>616</v>
      </c>
      <c r="F19" s="57" t="s">
        <v>311</v>
      </c>
      <c r="G19" s="57" t="s">
        <v>6</v>
      </c>
      <c r="H19" s="57" t="s">
        <v>697</v>
      </c>
      <c r="I19" s="165">
        <f t="shared" ref="I19:I50" si="9">C19*J19/1000</f>
        <v>1.44</v>
      </c>
      <c r="J19" s="166">
        <v>360</v>
      </c>
      <c r="K19" s="143">
        <f t="shared" si="2"/>
        <v>1.44</v>
      </c>
    </row>
    <row r="20" spans="1:11" x14ac:dyDescent="0.2">
      <c r="A20" s="154" t="s">
        <v>386</v>
      </c>
      <c r="B20" s="91" t="s">
        <v>391</v>
      </c>
      <c r="C20" s="16">
        <v>1</v>
      </c>
      <c r="D20" s="150">
        <f t="shared" si="8"/>
        <v>1.5649452269170579E-3</v>
      </c>
      <c r="E20" s="16" t="s">
        <v>616</v>
      </c>
      <c r="F20" s="16" t="s">
        <v>311</v>
      </c>
      <c r="G20" s="16" t="s">
        <v>6</v>
      </c>
      <c r="H20" s="16" t="s">
        <v>697</v>
      </c>
      <c r="I20" s="161">
        <f t="shared" ref="I20" si="10">C20*J20/1000</f>
        <v>0.32</v>
      </c>
      <c r="J20" s="162">
        <v>320</v>
      </c>
      <c r="K20" s="143">
        <f t="shared" si="2"/>
        <v>0.32</v>
      </c>
    </row>
    <row r="21" spans="1:11" x14ac:dyDescent="0.2">
      <c r="A21" s="154" t="s">
        <v>386</v>
      </c>
      <c r="B21" s="91" t="s">
        <v>400</v>
      </c>
      <c r="C21" s="16">
        <v>5</v>
      </c>
      <c r="D21" s="150">
        <f t="shared" si="4"/>
        <v>7.8247261345852897E-3</v>
      </c>
      <c r="E21" s="16" t="s">
        <v>616</v>
      </c>
      <c r="F21" s="16" t="s">
        <v>311</v>
      </c>
      <c r="G21" s="16" t="s">
        <v>6</v>
      </c>
      <c r="H21" s="16" t="s">
        <v>697</v>
      </c>
      <c r="I21" s="161">
        <f t="shared" si="9"/>
        <v>1.4</v>
      </c>
      <c r="J21" s="162">
        <v>280</v>
      </c>
      <c r="K21" s="143">
        <f t="shared" si="2"/>
        <v>1.4</v>
      </c>
    </row>
    <row r="22" spans="1:11" x14ac:dyDescent="0.2">
      <c r="A22" s="154" t="s">
        <v>386</v>
      </c>
      <c r="B22" s="91" t="s">
        <v>405</v>
      </c>
      <c r="C22" s="16">
        <v>6</v>
      </c>
      <c r="D22" s="150">
        <f>C22/$C$1</f>
        <v>9.3896713615023476E-3</v>
      </c>
      <c r="E22" s="16" t="s">
        <v>616</v>
      </c>
      <c r="F22" s="16" t="s">
        <v>311</v>
      </c>
      <c r="G22" s="16" t="s">
        <v>6</v>
      </c>
      <c r="H22" s="16" t="s">
        <v>697</v>
      </c>
      <c r="I22" s="161">
        <f>C22*J22/1000</f>
        <v>1.1399999999999999</v>
      </c>
      <c r="J22" s="162">
        <v>190</v>
      </c>
      <c r="K22" s="143">
        <f t="shared" si="2"/>
        <v>1.1399999999999999</v>
      </c>
    </row>
    <row r="23" spans="1:11" x14ac:dyDescent="0.2">
      <c r="A23" s="154" t="s">
        <v>386</v>
      </c>
      <c r="B23" s="91" t="s">
        <v>403</v>
      </c>
      <c r="C23" s="16">
        <v>12</v>
      </c>
      <c r="D23" s="150">
        <f>C23/$C$1</f>
        <v>1.8779342723004695E-2</v>
      </c>
      <c r="E23" s="16" t="s">
        <v>616</v>
      </c>
      <c r="F23" s="16" t="s">
        <v>311</v>
      </c>
      <c r="G23" s="16" t="s">
        <v>6</v>
      </c>
      <c r="H23" s="16" t="s">
        <v>387</v>
      </c>
      <c r="I23" s="161">
        <f t="shared" ref="I23" si="11">C23*J23/1000</f>
        <v>3.48</v>
      </c>
      <c r="J23" s="162">
        <v>290</v>
      </c>
      <c r="K23" s="143">
        <f t="shared" si="2"/>
        <v>3.48</v>
      </c>
    </row>
    <row r="24" spans="1:11" x14ac:dyDescent="0.2">
      <c r="A24" s="154" t="s">
        <v>386</v>
      </c>
      <c r="B24" s="91" t="s">
        <v>448</v>
      </c>
      <c r="C24" s="16">
        <v>2</v>
      </c>
      <c r="D24" s="150">
        <f>C24/$C$1</f>
        <v>3.1298904538341159E-3</v>
      </c>
      <c r="E24" s="16" t="s">
        <v>616</v>
      </c>
      <c r="F24" s="16" t="s">
        <v>311</v>
      </c>
      <c r="G24" s="16" t="s">
        <v>6</v>
      </c>
      <c r="H24" s="16" t="s">
        <v>387</v>
      </c>
      <c r="I24" s="161">
        <f t="shared" ref="I24" si="12">C24*J24/1000</f>
        <v>0.7</v>
      </c>
      <c r="J24" s="162">
        <v>350</v>
      </c>
      <c r="K24" s="143">
        <f t="shared" si="2"/>
        <v>0.7</v>
      </c>
    </row>
    <row r="25" spans="1:11" ht="17" thickBot="1" x14ac:dyDescent="0.25">
      <c r="A25" s="86" t="s">
        <v>386</v>
      </c>
      <c r="B25" s="375" t="s">
        <v>443</v>
      </c>
      <c r="C25" s="116">
        <v>3</v>
      </c>
      <c r="D25" s="164">
        <f>C25/$C$1</f>
        <v>4.6948356807511738E-3</v>
      </c>
      <c r="E25" s="57" t="s">
        <v>616</v>
      </c>
      <c r="F25" s="57" t="s">
        <v>311</v>
      </c>
      <c r="G25" s="57" t="s">
        <v>6</v>
      </c>
      <c r="H25" s="57" t="s">
        <v>387</v>
      </c>
      <c r="I25" s="165">
        <f t="shared" ref="I25" si="13">C25*J25/1000</f>
        <v>0.39</v>
      </c>
      <c r="J25" s="196">
        <v>130</v>
      </c>
      <c r="K25" s="143">
        <f t="shared" si="2"/>
        <v>0.39</v>
      </c>
    </row>
    <row r="26" spans="1:11" x14ac:dyDescent="0.2">
      <c r="A26" s="153" t="s">
        <v>66</v>
      </c>
      <c r="B26" s="202" t="s">
        <v>724</v>
      </c>
      <c r="C26" s="26">
        <v>34</v>
      </c>
      <c r="D26" s="151">
        <f t="shared" si="4"/>
        <v>5.3208137715179966E-2</v>
      </c>
      <c r="E26" s="26" t="s">
        <v>616</v>
      </c>
      <c r="F26" s="26" t="s">
        <v>311</v>
      </c>
      <c r="G26" s="26" t="s">
        <v>7</v>
      </c>
      <c r="H26" s="26" t="s">
        <v>697</v>
      </c>
      <c r="I26" s="159">
        <f t="shared" si="9"/>
        <v>12.24</v>
      </c>
      <c r="J26" s="160">
        <v>360</v>
      </c>
      <c r="K26" s="143">
        <f t="shared" si="2"/>
        <v>12.24</v>
      </c>
    </row>
    <row r="27" spans="1:11" x14ac:dyDescent="0.2">
      <c r="A27" s="154" t="s">
        <v>66</v>
      </c>
      <c r="B27" s="91" t="s">
        <v>442</v>
      </c>
      <c r="C27" s="16">
        <v>6</v>
      </c>
      <c r="D27" s="150">
        <f t="shared" ref="D27:D28" si="14">C27/$C$1</f>
        <v>9.3896713615023476E-3</v>
      </c>
      <c r="E27" s="16" t="s">
        <v>616</v>
      </c>
      <c r="F27" s="16" t="s">
        <v>311</v>
      </c>
      <c r="G27" s="16" t="s">
        <v>7</v>
      </c>
      <c r="H27" s="16" t="s">
        <v>387</v>
      </c>
      <c r="I27" s="161">
        <f t="shared" ref="I27" si="15">C27*J27/1000</f>
        <v>1.5</v>
      </c>
      <c r="J27" s="162">
        <v>250</v>
      </c>
      <c r="K27" s="143">
        <f t="shared" si="2"/>
        <v>1.5</v>
      </c>
    </row>
    <row r="28" spans="1:11" x14ac:dyDescent="0.2">
      <c r="A28" s="154" t="s">
        <v>66</v>
      </c>
      <c r="B28" s="91" t="s">
        <v>453</v>
      </c>
      <c r="C28" s="16">
        <v>8</v>
      </c>
      <c r="D28" s="195">
        <f t="shared" si="14"/>
        <v>1.2519561815336464E-2</v>
      </c>
      <c r="E28" s="16" t="s">
        <v>616</v>
      </c>
      <c r="F28" s="16" t="s">
        <v>311</v>
      </c>
      <c r="G28" s="16" t="s">
        <v>7</v>
      </c>
      <c r="H28" s="16" t="s">
        <v>387</v>
      </c>
      <c r="I28" s="161">
        <f t="shared" ref="I28" si="16">C28*J28/1000</f>
        <v>2.56</v>
      </c>
      <c r="J28" s="162">
        <v>320</v>
      </c>
      <c r="K28" s="143">
        <f t="shared" si="2"/>
        <v>2.56</v>
      </c>
    </row>
    <row r="29" spans="1:11" ht="17" thickBot="1" x14ac:dyDescent="0.25">
      <c r="A29" s="87" t="s">
        <v>66</v>
      </c>
      <c r="B29" s="382" t="s">
        <v>447</v>
      </c>
      <c r="C29" s="67">
        <v>6</v>
      </c>
      <c r="D29" s="183">
        <f t="shared" si="4"/>
        <v>9.3896713615023476E-3</v>
      </c>
      <c r="E29" s="67" t="s">
        <v>616</v>
      </c>
      <c r="F29" s="67" t="s">
        <v>311</v>
      </c>
      <c r="G29" s="67" t="s">
        <v>7</v>
      </c>
      <c r="H29" s="67" t="s">
        <v>387</v>
      </c>
      <c r="I29" s="147">
        <f t="shared" si="9"/>
        <v>1.92</v>
      </c>
      <c r="J29" s="146">
        <v>320</v>
      </c>
      <c r="K29" s="143">
        <f t="shared" si="2"/>
        <v>1.92</v>
      </c>
    </row>
    <row r="30" spans="1:11" x14ac:dyDescent="0.2">
      <c r="A30" s="387" t="s">
        <v>440</v>
      </c>
      <c r="B30" s="202" t="s">
        <v>392</v>
      </c>
      <c r="C30" s="26">
        <v>4</v>
      </c>
      <c r="D30" s="151">
        <f t="shared" ref="D30" si="17">C30/$C$1</f>
        <v>6.2597809076682318E-3</v>
      </c>
      <c r="E30" s="26" t="s">
        <v>616</v>
      </c>
      <c r="F30" s="26" t="s">
        <v>311</v>
      </c>
      <c r="G30" s="26" t="s">
        <v>7</v>
      </c>
      <c r="H30" s="26" t="s">
        <v>697</v>
      </c>
      <c r="I30" s="159">
        <f t="shared" si="9"/>
        <v>1.28</v>
      </c>
      <c r="J30" s="160">
        <v>320</v>
      </c>
      <c r="K30" s="143">
        <f t="shared" si="2"/>
        <v>1.28</v>
      </c>
    </row>
    <row r="31" spans="1:11" x14ac:dyDescent="0.2">
      <c r="A31" s="388" t="s">
        <v>440</v>
      </c>
      <c r="B31" s="91" t="s">
        <v>404</v>
      </c>
      <c r="C31" s="16">
        <v>32</v>
      </c>
      <c r="D31" s="150">
        <f t="shared" si="4"/>
        <v>5.0078247261345854E-2</v>
      </c>
      <c r="E31" s="16" t="s">
        <v>616</v>
      </c>
      <c r="F31" s="16" t="s">
        <v>311</v>
      </c>
      <c r="G31" s="16" t="s">
        <v>7</v>
      </c>
      <c r="H31" s="16" t="s">
        <v>387</v>
      </c>
      <c r="I31" s="161">
        <f t="shared" si="9"/>
        <v>9.2799999999999994</v>
      </c>
      <c r="J31" s="162">
        <v>290</v>
      </c>
      <c r="K31" s="143">
        <f t="shared" si="2"/>
        <v>9.2799999999999994</v>
      </c>
    </row>
    <row r="32" spans="1:11" ht="17" thickBot="1" x14ac:dyDescent="0.25">
      <c r="A32" s="389" t="s">
        <v>440</v>
      </c>
      <c r="B32" s="169" t="s">
        <v>433</v>
      </c>
      <c r="C32" s="34">
        <v>34</v>
      </c>
      <c r="D32" s="170">
        <f t="shared" ref="D32" si="18">C32/$C$1</f>
        <v>5.3208137715179966E-2</v>
      </c>
      <c r="E32" s="34" t="s">
        <v>616</v>
      </c>
      <c r="F32" s="34" t="s">
        <v>311</v>
      </c>
      <c r="G32" s="34" t="s">
        <v>7</v>
      </c>
      <c r="H32" s="34" t="s">
        <v>387</v>
      </c>
      <c r="I32" s="171">
        <f t="shared" ref="I32" si="19">C32*J32/1000</f>
        <v>6.8</v>
      </c>
      <c r="J32" s="172">
        <v>200</v>
      </c>
      <c r="K32" s="143">
        <f t="shared" si="2"/>
        <v>6.8</v>
      </c>
    </row>
    <row r="33" spans="1:11" x14ac:dyDescent="0.2">
      <c r="A33" s="90" t="s">
        <v>411</v>
      </c>
      <c r="B33" s="23" t="s">
        <v>425</v>
      </c>
      <c r="C33" s="26">
        <v>31</v>
      </c>
      <c r="D33" s="151">
        <f t="shared" ref="D33" si="20">C33/$C$1</f>
        <v>4.8513302034428794E-2</v>
      </c>
      <c r="E33" s="26" t="s">
        <v>616</v>
      </c>
      <c r="F33" s="26" t="s">
        <v>311</v>
      </c>
      <c r="G33" s="26" t="s">
        <v>6</v>
      </c>
      <c r="H33" s="26" t="s">
        <v>387</v>
      </c>
      <c r="I33" s="159">
        <f t="shared" ref="I33" si="21">C33*J33/1000</f>
        <v>3.72</v>
      </c>
      <c r="J33" s="160">
        <v>120</v>
      </c>
      <c r="K33" s="143">
        <f>J33*C33/1000</f>
        <v>3.72</v>
      </c>
    </row>
    <row r="34" spans="1:11" x14ac:dyDescent="0.2">
      <c r="A34" s="154" t="s">
        <v>411</v>
      </c>
      <c r="B34" s="14" t="s">
        <v>450</v>
      </c>
      <c r="C34" s="16">
        <v>6</v>
      </c>
      <c r="D34" s="150">
        <f>C34/$C$1</f>
        <v>9.3896713615023476E-3</v>
      </c>
      <c r="E34" s="16" t="s">
        <v>616</v>
      </c>
      <c r="F34" s="16" t="s">
        <v>311</v>
      </c>
      <c r="G34" s="16" t="s">
        <v>7</v>
      </c>
      <c r="H34" s="16" t="s">
        <v>387</v>
      </c>
      <c r="I34" s="161">
        <f>C34*J34/1000</f>
        <v>1.92</v>
      </c>
      <c r="J34" s="162">
        <v>320</v>
      </c>
      <c r="K34" s="143">
        <f>J34*C34/1000</f>
        <v>1.92</v>
      </c>
    </row>
    <row r="35" spans="1:11" ht="17" thickBot="1" x14ac:dyDescent="0.25">
      <c r="A35" s="197" t="s">
        <v>411</v>
      </c>
      <c r="B35" s="66" t="s">
        <v>657</v>
      </c>
      <c r="C35" s="67">
        <v>4</v>
      </c>
      <c r="D35" s="183">
        <f t="shared" ref="D35" si="22">C35/$C$1</f>
        <v>6.2597809076682318E-3</v>
      </c>
      <c r="E35" s="67" t="s">
        <v>656</v>
      </c>
      <c r="F35" s="67" t="s">
        <v>311</v>
      </c>
      <c r="G35" s="67" t="s">
        <v>6</v>
      </c>
      <c r="H35" s="67" t="s">
        <v>387</v>
      </c>
      <c r="I35" s="147">
        <f t="shared" ref="I35" si="23">C35*J35/1000</f>
        <v>0.48</v>
      </c>
      <c r="J35" s="146">
        <v>120</v>
      </c>
      <c r="K35" s="143">
        <f>J35*C35/1000</f>
        <v>0.48</v>
      </c>
    </row>
    <row r="36" spans="1:11" ht="17" thickBot="1" x14ac:dyDescent="0.25">
      <c r="A36" s="35" t="s">
        <v>94</v>
      </c>
      <c r="B36" s="106" t="s">
        <v>446</v>
      </c>
      <c r="C36" s="39">
        <v>19</v>
      </c>
      <c r="D36" s="173">
        <f t="shared" ref="D36:D47" si="24">C36/$C$1</f>
        <v>2.9733959311424099E-2</v>
      </c>
      <c r="E36" s="39" t="s">
        <v>616</v>
      </c>
      <c r="F36" s="39" t="s">
        <v>311</v>
      </c>
      <c r="G36" s="39" t="s">
        <v>7</v>
      </c>
      <c r="H36" s="39" t="s">
        <v>387</v>
      </c>
      <c r="I36" s="148">
        <f t="shared" ref="I36" si="25">C36*J36/1000</f>
        <v>4.18</v>
      </c>
      <c r="J36" s="140">
        <v>220</v>
      </c>
      <c r="K36" s="143">
        <f t="shared" si="2"/>
        <v>4.18</v>
      </c>
    </row>
    <row r="37" spans="1:11" ht="17" thickBot="1" x14ac:dyDescent="0.25">
      <c r="A37" s="87" t="s">
        <v>451</v>
      </c>
      <c r="B37" s="382" t="s">
        <v>452</v>
      </c>
      <c r="C37" s="67">
        <v>11</v>
      </c>
      <c r="D37" s="183">
        <f>C37/$C$1</f>
        <v>1.7214397496087636E-2</v>
      </c>
      <c r="E37" s="67" t="s">
        <v>616</v>
      </c>
      <c r="F37" s="67" t="s">
        <v>311</v>
      </c>
      <c r="G37" s="67" t="s">
        <v>6</v>
      </c>
      <c r="H37" s="67" t="s">
        <v>387</v>
      </c>
      <c r="I37" s="147">
        <f>C37*J37/1000</f>
        <v>4.4000000000000004</v>
      </c>
      <c r="J37" s="146">
        <v>400</v>
      </c>
      <c r="K37" s="143">
        <f>J37*C37/1000</f>
        <v>4.4000000000000004</v>
      </c>
    </row>
    <row r="38" spans="1:11" ht="17" thickBot="1" x14ac:dyDescent="0.25">
      <c r="A38" s="87" t="s">
        <v>445</v>
      </c>
      <c r="B38" s="382" t="s">
        <v>444</v>
      </c>
      <c r="C38" s="67">
        <v>11</v>
      </c>
      <c r="D38" s="183">
        <f>C38/$C$1</f>
        <v>1.7214397496087636E-2</v>
      </c>
      <c r="E38" s="67" t="s">
        <v>616</v>
      </c>
      <c r="F38" s="67" t="s">
        <v>311</v>
      </c>
      <c r="G38" s="67" t="s">
        <v>7</v>
      </c>
      <c r="H38" s="67" t="s">
        <v>387</v>
      </c>
      <c r="I38" s="147">
        <f>C38*J38/1000</f>
        <v>2.64</v>
      </c>
      <c r="J38" s="146">
        <v>240</v>
      </c>
      <c r="K38" s="143">
        <f>J38*C38/1000</f>
        <v>2.64</v>
      </c>
    </row>
    <row r="39" spans="1:11" ht="17" thickBot="1" x14ac:dyDescent="0.25">
      <c r="A39" s="198" t="s">
        <v>454</v>
      </c>
      <c r="B39" s="106" t="s">
        <v>452</v>
      </c>
      <c r="C39" s="39">
        <v>7</v>
      </c>
      <c r="D39" s="173">
        <f t="shared" si="24"/>
        <v>1.0954616588419406E-2</v>
      </c>
      <c r="E39" s="39" t="s">
        <v>616</v>
      </c>
      <c r="F39" s="39" t="s">
        <v>311</v>
      </c>
      <c r="G39" s="39" t="s">
        <v>7</v>
      </c>
      <c r="H39" s="39" t="s">
        <v>387</v>
      </c>
      <c r="I39" s="148">
        <f t="shared" ref="I39:I48" si="26">C39*J39/1000</f>
        <v>2.59</v>
      </c>
      <c r="J39" s="140">
        <v>370</v>
      </c>
      <c r="K39" s="143">
        <f t="shared" si="2"/>
        <v>2.59</v>
      </c>
    </row>
    <row r="40" spans="1:11" x14ac:dyDescent="0.2">
      <c r="A40" s="153" t="s">
        <v>388</v>
      </c>
      <c r="B40" s="202" t="s">
        <v>401</v>
      </c>
      <c r="C40" s="26">
        <v>4</v>
      </c>
      <c r="D40" s="151">
        <f>C40/$C$1</f>
        <v>6.2597809076682318E-3</v>
      </c>
      <c r="E40" s="26" t="s">
        <v>616</v>
      </c>
      <c r="F40" s="26" t="s">
        <v>311</v>
      </c>
      <c r="G40" s="26" t="s">
        <v>7</v>
      </c>
      <c r="H40" s="26" t="s">
        <v>697</v>
      </c>
      <c r="I40" s="159">
        <f t="shared" ref="I40" si="27">C40*J40/1000</f>
        <v>1.1200000000000001</v>
      </c>
      <c r="J40" s="160">
        <v>280</v>
      </c>
      <c r="K40" s="143">
        <f>J40*C40/1000</f>
        <v>1.1200000000000001</v>
      </c>
    </row>
    <row r="41" spans="1:11" ht="17" thickBot="1" x14ac:dyDescent="0.25">
      <c r="A41" s="175" t="s">
        <v>388</v>
      </c>
      <c r="B41" s="304" t="s">
        <v>406</v>
      </c>
      <c r="C41" s="54">
        <v>2</v>
      </c>
      <c r="D41" s="176">
        <f>C41/$C$1</f>
        <v>3.1298904538341159E-3</v>
      </c>
      <c r="E41" s="54" t="s">
        <v>616</v>
      </c>
      <c r="F41" s="54" t="s">
        <v>311</v>
      </c>
      <c r="G41" s="54" t="s">
        <v>6</v>
      </c>
      <c r="H41" s="54" t="s">
        <v>697</v>
      </c>
      <c r="I41" s="177">
        <f>C41*J41/1000</f>
        <v>0.38</v>
      </c>
      <c r="J41" s="178">
        <v>190</v>
      </c>
      <c r="K41" s="143">
        <f>J41*C41/1000</f>
        <v>0.38</v>
      </c>
    </row>
    <row r="42" spans="1:11" ht="17" thickBot="1" x14ac:dyDescent="0.25">
      <c r="A42" s="35" t="s">
        <v>558</v>
      </c>
      <c r="B42" s="106" t="s">
        <v>436</v>
      </c>
      <c r="C42" s="39">
        <v>5</v>
      </c>
      <c r="D42" s="173">
        <f>C42/$C$1</f>
        <v>7.8247261345852897E-3</v>
      </c>
      <c r="E42" s="39" t="s">
        <v>656</v>
      </c>
      <c r="F42" s="39" t="s">
        <v>311</v>
      </c>
      <c r="G42" s="39" t="s">
        <v>7</v>
      </c>
      <c r="H42" s="39" t="s">
        <v>387</v>
      </c>
      <c r="I42" s="148">
        <f>C42*J42/1000</f>
        <v>1.2</v>
      </c>
      <c r="J42" s="140">
        <v>240</v>
      </c>
      <c r="K42" s="143">
        <f>J42*C42/1000</f>
        <v>1.2</v>
      </c>
    </row>
    <row r="43" spans="1:11" ht="17" thickBot="1" x14ac:dyDescent="0.25">
      <c r="A43" s="336" t="s">
        <v>106</v>
      </c>
      <c r="B43" s="106" t="s">
        <v>456</v>
      </c>
      <c r="C43" s="39">
        <v>7</v>
      </c>
      <c r="D43" s="173">
        <f t="shared" ref="D43:D44" si="28">C43/$C$1</f>
        <v>1.0954616588419406E-2</v>
      </c>
      <c r="E43" s="39" t="s">
        <v>616</v>
      </c>
      <c r="F43" s="39" t="s">
        <v>311</v>
      </c>
      <c r="G43" s="39" t="s">
        <v>7</v>
      </c>
      <c r="H43" s="39" t="s">
        <v>387</v>
      </c>
      <c r="I43" s="148">
        <f t="shared" si="26"/>
        <v>2.59</v>
      </c>
      <c r="J43" s="140">
        <v>370</v>
      </c>
      <c r="K43" s="143">
        <f t="shared" si="2"/>
        <v>2.59</v>
      </c>
    </row>
    <row r="44" spans="1:11" ht="17" thickBot="1" x14ac:dyDescent="0.25">
      <c r="A44" s="336" t="s">
        <v>704</v>
      </c>
      <c r="B44" s="106" t="s">
        <v>457</v>
      </c>
      <c r="C44" s="39">
        <v>3</v>
      </c>
      <c r="D44" s="173">
        <f t="shared" si="28"/>
        <v>4.6948356807511738E-3</v>
      </c>
      <c r="E44" s="39" t="s">
        <v>616</v>
      </c>
      <c r="F44" s="39" t="s">
        <v>311</v>
      </c>
      <c r="G44" s="39" t="s">
        <v>7</v>
      </c>
      <c r="H44" s="39" t="s">
        <v>387</v>
      </c>
      <c r="I44" s="148">
        <f t="shared" si="26"/>
        <v>1.1399999999999999</v>
      </c>
      <c r="J44" s="140">
        <v>380</v>
      </c>
      <c r="K44" s="143">
        <f t="shared" si="2"/>
        <v>1.1399999999999999</v>
      </c>
    </row>
    <row r="45" spans="1:11" ht="17" thickBot="1" x14ac:dyDescent="0.25">
      <c r="A45" s="35" t="s">
        <v>505</v>
      </c>
      <c r="B45" s="106" t="s">
        <v>455</v>
      </c>
      <c r="C45" s="39">
        <v>5</v>
      </c>
      <c r="D45" s="173">
        <f t="shared" si="24"/>
        <v>7.8247261345852897E-3</v>
      </c>
      <c r="E45" s="39" t="s">
        <v>616</v>
      </c>
      <c r="F45" s="39" t="s">
        <v>311</v>
      </c>
      <c r="G45" s="39" t="s">
        <v>7</v>
      </c>
      <c r="H45" s="39" t="s">
        <v>387</v>
      </c>
      <c r="I45" s="148">
        <f t="shared" si="26"/>
        <v>1.5</v>
      </c>
      <c r="J45" s="140">
        <v>300</v>
      </c>
      <c r="K45" s="143">
        <f t="shared" si="2"/>
        <v>1.5</v>
      </c>
    </row>
    <row r="46" spans="1:11" ht="17" thickBot="1" x14ac:dyDescent="0.25">
      <c r="A46" s="62" t="s">
        <v>65</v>
      </c>
      <c r="B46" s="386" t="s">
        <v>449</v>
      </c>
      <c r="C46" s="45">
        <v>6</v>
      </c>
      <c r="D46" s="339">
        <f t="shared" ref="D46" si="29">C46/$C$1</f>
        <v>9.3896713615023476E-3</v>
      </c>
      <c r="E46" s="45" t="s">
        <v>616</v>
      </c>
      <c r="F46" s="45" t="s">
        <v>311</v>
      </c>
      <c r="G46" s="45" t="s">
        <v>7</v>
      </c>
      <c r="H46" s="45" t="s">
        <v>387</v>
      </c>
      <c r="I46" s="340">
        <f t="shared" si="26"/>
        <v>1.26</v>
      </c>
      <c r="J46" s="341">
        <v>210</v>
      </c>
      <c r="K46" s="143">
        <f t="shared" si="2"/>
        <v>1.26</v>
      </c>
    </row>
    <row r="47" spans="1:11" ht="17" thickBot="1" x14ac:dyDescent="0.25">
      <c r="A47" s="35" t="s">
        <v>706</v>
      </c>
      <c r="B47" s="106" t="s">
        <v>658</v>
      </c>
      <c r="C47" s="39">
        <v>7</v>
      </c>
      <c r="D47" s="173">
        <f t="shared" si="24"/>
        <v>1.0954616588419406E-2</v>
      </c>
      <c r="E47" s="39" t="s">
        <v>656</v>
      </c>
      <c r="F47" s="39" t="s">
        <v>311</v>
      </c>
      <c r="G47" s="39" t="s">
        <v>7</v>
      </c>
      <c r="H47" s="39" t="s">
        <v>387</v>
      </c>
      <c r="I47" s="148">
        <f t="shared" si="26"/>
        <v>1.68</v>
      </c>
      <c r="J47" s="140">
        <v>240</v>
      </c>
      <c r="K47" s="143">
        <f t="shared" si="2"/>
        <v>1.68</v>
      </c>
    </row>
    <row r="48" spans="1:11" x14ac:dyDescent="0.2">
      <c r="A48" s="120" t="s">
        <v>435</v>
      </c>
      <c r="B48" s="202" t="s">
        <v>415</v>
      </c>
      <c r="C48" s="26">
        <v>2</v>
      </c>
      <c r="D48" s="151">
        <f t="shared" ref="D48:D49" si="30">C48/$C$1</f>
        <v>3.1298904538341159E-3</v>
      </c>
      <c r="E48" s="26" t="s">
        <v>616</v>
      </c>
      <c r="F48" s="26" t="s">
        <v>311</v>
      </c>
      <c r="G48" s="26" t="s">
        <v>7</v>
      </c>
      <c r="H48" s="26" t="s">
        <v>697</v>
      </c>
      <c r="I48" s="159">
        <f t="shared" si="26"/>
        <v>1.3</v>
      </c>
      <c r="J48" s="160">
        <v>650</v>
      </c>
      <c r="K48" s="143">
        <f t="shared" si="2"/>
        <v>1.3</v>
      </c>
    </row>
    <row r="49" spans="1:11" x14ac:dyDescent="0.2">
      <c r="A49" s="102" t="s">
        <v>435</v>
      </c>
      <c r="B49" s="91" t="s">
        <v>393</v>
      </c>
      <c r="C49" s="16">
        <v>29</v>
      </c>
      <c r="D49" s="150">
        <f t="shared" si="30"/>
        <v>4.5383411580594682E-2</v>
      </c>
      <c r="E49" s="16" t="s">
        <v>616</v>
      </c>
      <c r="F49" s="16" t="s">
        <v>311</v>
      </c>
      <c r="G49" s="16" t="s">
        <v>7</v>
      </c>
      <c r="H49" s="16" t="s">
        <v>697</v>
      </c>
      <c r="I49" s="161">
        <f t="shared" ref="I49" si="31">C49*J49/1000</f>
        <v>9.2799999999999994</v>
      </c>
      <c r="J49" s="162">
        <v>320</v>
      </c>
      <c r="K49" s="143">
        <f t="shared" si="2"/>
        <v>9.2799999999999994</v>
      </c>
    </row>
    <row r="50" spans="1:11" x14ac:dyDescent="0.2">
      <c r="A50" s="102" t="s">
        <v>435</v>
      </c>
      <c r="B50" s="91" t="s">
        <v>402</v>
      </c>
      <c r="C50" s="16">
        <v>4</v>
      </c>
      <c r="D50" s="150">
        <f t="shared" si="4"/>
        <v>6.2597809076682318E-3</v>
      </c>
      <c r="E50" s="16" t="s">
        <v>616</v>
      </c>
      <c r="F50" s="16" t="s">
        <v>311</v>
      </c>
      <c r="G50" s="16" t="s">
        <v>7</v>
      </c>
      <c r="H50" s="16" t="s">
        <v>697</v>
      </c>
      <c r="I50" s="161">
        <f t="shared" si="9"/>
        <v>1.1200000000000001</v>
      </c>
      <c r="J50" s="162">
        <v>280</v>
      </c>
      <c r="K50" s="143">
        <f t="shared" si="2"/>
        <v>1.1200000000000001</v>
      </c>
    </row>
    <row r="51" spans="1:11" x14ac:dyDescent="0.2">
      <c r="A51" s="102" t="s">
        <v>435</v>
      </c>
      <c r="B51" s="91" t="s">
        <v>407</v>
      </c>
      <c r="C51" s="16">
        <v>3</v>
      </c>
      <c r="D51" s="150">
        <f>C51/$C$1</f>
        <v>4.6948356807511738E-3</v>
      </c>
      <c r="E51" s="16" t="s">
        <v>616</v>
      </c>
      <c r="F51" s="16" t="s">
        <v>311</v>
      </c>
      <c r="G51" s="16" t="s">
        <v>6</v>
      </c>
      <c r="H51" s="16" t="s">
        <v>697</v>
      </c>
      <c r="I51" s="161">
        <f>C51*J51/1000</f>
        <v>0.56999999999999995</v>
      </c>
      <c r="J51" s="162">
        <v>190</v>
      </c>
      <c r="K51" s="143">
        <f t="shared" si="2"/>
        <v>0.56999999999999995</v>
      </c>
    </row>
    <row r="52" spans="1:11" ht="17" thickBot="1" x14ac:dyDescent="0.25">
      <c r="A52" s="103" t="s">
        <v>435</v>
      </c>
      <c r="B52" s="169" t="s">
        <v>394</v>
      </c>
      <c r="C52" s="34">
        <f>93+12</f>
        <v>105</v>
      </c>
      <c r="D52" s="170">
        <f t="shared" si="4"/>
        <v>0.16431924882629109</v>
      </c>
      <c r="E52" s="34" t="s">
        <v>616</v>
      </c>
      <c r="F52" s="34" t="s">
        <v>311</v>
      </c>
      <c r="G52" s="34" t="s">
        <v>7</v>
      </c>
      <c r="H52" s="34" t="s">
        <v>387</v>
      </c>
      <c r="I52" s="171">
        <f t="shared" ref="I52" si="32">C52*J52/1000</f>
        <v>31.5</v>
      </c>
      <c r="J52" s="172">
        <v>300</v>
      </c>
      <c r="K52" s="143">
        <f t="shared" si="2"/>
        <v>31.5</v>
      </c>
    </row>
    <row r="53" spans="1:11" s="83" customFormat="1" x14ac:dyDescent="0.2">
      <c r="A53" s="82"/>
      <c r="B53" s="82"/>
      <c r="C53" s="81"/>
      <c r="D53" s="179"/>
      <c r="E53" s="81"/>
      <c r="F53" s="81"/>
      <c r="G53" s="81"/>
      <c r="H53" s="81"/>
      <c r="I53" s="180"/>
      <c r="J53" s="110"/>
      <c r="K53" s="181">
        <f t="shared" ref="K53:K54" si="33">J53*C53/1000</f>
        <v>0</v>
      </c>
    </row>
    <row r="54" spans="1:11" s="83" customFormat="1" ht="17" thickBot="1" x14ac:dyDescent="0.25">
      <c r="A54" s="82"/>
      <c r="B54" s="82"/>
      <c r="C54" s="81"/>
      <c r="D54" s="179"/>
      <c r="E54" s="81"/>
      <c r="F54" s="81"/>
      <c r="G54" s="81"/>
      <c r="H54" s="81"/>
      <c r="I54" s="180"/>
      <c r="J54" s="110"/>
      <c r="K54" s="181">
        <f t="shared" si="33"/>
        <v>0</v>
      </c>
    </row>
    <row r="55" spans="1:11" x14ac:dyDescent="0.2">
      <c r="A55" s="413" t="s">
        <v>621</v>
      </c>
      <c r="B55" s="414"/>
      <c r="C55" s="414"/>
      <c r="D55" s="414"/>
      <c r="E55" s="415"/>
      <c r="F55" s="81"/>
      <c r="G55" s="81"/>
      <c r="H55" s="81"/>
      <c r="I55"/>
      <c r="J55"/>
      <c r="K55"/>
    </row>
    <row r="56" spans="1:11" x14ac:dyDescent="0.2">
      <c r="A56" s="213" t="s">
        <v>613</v>
      </c>
      <c r="B56" s="208" t="s">
        <v>614</v>
      </c>
      <c r="C56" s="209"/>
      <c r="D56" s="214" t="s">
        <v>617</v>
      </c>
      <c r="E56" s="215"/>
      <c r="F56" s="81"/>
      <c r="G56" s="81"/>
      <c r="H56" s="81"/>
      <c r="I56"/>
      <c r="J56"/>
      <c r="K56"/>
    </row>
    <row r="57" spans="1:11" x14ac:dyDescent="0.2">
      <c r="A57" s="79" t="str">
        <f>A4</f>
        <v>GBT Trading LLC</v>
      </c>
      <c r="B57" s="14">
        <f t="shared" ref="B57:B65" si="34">SUMIF($A$4:$A$52,A57,$C$4:$C$52)</f>
        <v>141</v>
      </c>
      <c r="C57" s="75">
        <f t="shared" ref="C57:C62" si="35">B57/$C$1</f>
        <v>0.22065727699530516</v>
      </c>
      <c r="D57" s="222">
        <f t="shared" ref="D57:D65" si="36">SUMIF($A$4:$A$52,A57,$I$4:$I$52)</f>
        <v>40.960000000000008</v>
      </c>
      <c r="E57" s="210">
        <f>D57/E$1</f>
        <v>0.22427859606855396</v>
      </c>
      <c r="F57" s="81"/>
      <c r="G57" s="81"/>
      <c r="H57" s="81"/>
      <c r="I57"/>
      <c r="J57"/>
      <c r="K57"/>
    </row>
    <row r="58" spans="1:11" x14ac:dyDescent="0.2">
      <c r="A58" s="390" t="str">
        <f>A30</f>
        <v>Gut &amp; Günstig importer</v>
      </c>
      <c r="B58" s="14">
        <f t="shared" si="34"/>
        <v>70</v>
      </c>
      <c r="C58" s="75">
        <f>B58/$C$1</f>
        <v>0.10954616588419405</v>
      </c>
      <c r="D58" s="222">
        <f t="shared" si="36"/>
        <v>17.36</v>
      </c>
      <c r="E58" s="210">
        <f>D58/E$1</f>
        <v>9.5055576849367579E-2</v>
      </c>
      <c r="F58" s="81"/>
      <c r="G58" s="81"/>
      <c r="H58" s="81"/>
      <c r="I58"/>
      <c r="J58"/>
      <c r="K58"/>
    </row>
    <row r="59" spans="1:11" x14ac:dyDescent="0.2">
      <c r="A59" s="79" t="str">
        <f>A12</f>
        <v>Urbanek Mongol LLC</v>
      </c>
      <c r="B59" s="14">
        <f t="shared" si="34"/>
        <v>68</v>
      </c>
      <c r="C59" s="75">
        <f t="shared" si="35"/>
        <v>0.10641627543035993</v>
      </c>
      <c r="D59" s="222">
        <f t="shared" si="36"/>
        <v>21.349999999999998</v>
      </c>
      <c r="E59" s="210">
        <f t="shared" ref="E59:E66" si="37">D59/E$1</f>
        <v>0.11690302798006898</v>
      </c>
      <c r="F59" s="81"/>
      <c r="G59" s="81"/>
      <c r="H59" s="81"/>
      <c r="I59"/>
      <c r="J59"/>
      <c r="K59"/>
    </row>
    <row r="60" spans="1:11" x14ac:dyDescent="0.2">
      <c r="A60" s="79" t="str">
        <f>A26</f>
        <v>Bayasakh International LLC</v>
      </c>
      <c r="B60" s="14">
        <f t="shared" si="34"/>
        <v>54</v>
      </c>
      <c r="C60" s="75">
        <f>B60/$C$1</f>
        <v>8.4507042253521125E-2</v>
      </c>
      <c r="D60" s="222">
        <f t="shared" si="36"/>
        <v>18.22</v>
      </c>
      <c r="E60" s="210">
        <f>D60/E$1</f>
        <v>9.9764551278541308E-2</v>
      </c>
      <c r="F60" s="81"/>
      <c r="G60" s="81"/>
      <c r="H60" s="81"/>
      <c r="I60"/>
      <c r="J60"/>
      <c r="K60"/>
    </row>
    <row r="61" spans="1:11" x14ac:dyDescent="0.2">
      <c r="A61" s="79" t="str">
        <f>A33</f>
        <v>Nomin Foods LLC</v>
      </c>
      <c r="B61" s="14">
        <f t="shared" si="34"/>
        <v>41</v>
      </c>
      <c r="C61" s="75">
        <f>B61/$C$1</f>
        <v>6.416275430359937E-2</v>
      </c>
      <c r="D61" s="222">
        <f t="shared" si="36"/>
        <v>6.120000000000001</v>
      </c>
      <c r="E61" s="210">
        <f>D61/E$1</f>
        <v>3.3510376170399175E-2</v>
      </c>
      <c r="F61" s="81"/>
      <c r="G61" s="81"/>
      <c r="H61" s="81"/>
      <c r="I61"/>
      <c r="J61"/>
      <c r="K61"/>
    </row>
    <row r="62" spans="1:11" x14ac:dyDescent="0.2">
      <c r="A62" s="79" t="str">
        <f>A18</f>
        <v>Durvun Ulzii LLC</v>
      </c>
      <c r="B62" s="14">
        <f t="shared" si="34"/>
        <v>35</v>
      </c>
      <c r="C62" s="75">
        <f t="shared" si="35"/>
        <v>5.4773082942097026E-2</v>
      </c>
      <c r="D62" s="222">
        <f t="shared" si="36"/>
        <v>10.17</v>
      </c>
      <c r="E62" s="210">
        <f t="shared" si="37"/>
        <v>5.5686360400810382E-2</v>
      </c>
      <c r="F62" s="81"/>
      <c r="G62" s="81"/>
      <c r="H62" s="81"/>
      <c r="I62"/>
      <c r="J62"/>
      <c r="K62"/>
    </row>
    <row r="63" spans="1:11" x14ac:dyDescent="0.2">
      <c r="A63" s="79" t="str">
        <f>A36</f>
        <v>Lucha LLC</v>
      </c>
      <c r="B63" s="14">
        <f t="shared" si="34"/>
        <v>19</v>
      </c>
      <c r="C63" s="75">
        <f>B63/$C$1</f>
        <v>2.9733959311424099E-2</v>
      </c>
      <c r="D63" s="222">
        <f t="shared" si="36"/>
        <v>4.18</v>
      </c>
      <c r="E63" s="210">
        <f t="shared" si="37"/>
        <v>2.2887805946449104E-2</v>
      </c>
      <c r="F63" s="81"/>
      <c r="G63" s="81"/>
      <c r="H63" s="81"/>
      <c r="I63"/>
      <c r="J63"/>
      <c r="K63"/>
    </row>
    <row r="64" spans="1:11" x14ac:dyDescent="0.2">
      <c r="A64" s="79" t="str">
        <f>A37</f>
        <v>Undrakh Mandakh Govi</v>
      </c>
      <c r="B64" s="14">
        <f t="shared" si="34"/>
        <v>11</v>
      </c>
      <c r="C64" s="75">
        <f>B64/$C$1</f>
        <v>1.7214397496087636E-2</v>
      </c>
      <c r="D64" s="222">
        <f t="shared" si="36"/>
        <v>4.4000000000000004</v>
      </c>
      <c r="E64" s="210">
        <f t="shared" si="37"/>
        <v>2.4092427312051693E-2</v>
      </c>
      <c r="F64" s="81"/>
      <c r="G64" s="81"/>
      <c r="H64" s="81"/>
      <c r="I64"/>
      <c r="J64"/>
      <c r="K64"/>
    </row>
    <row r="65" spans="1:11" x14ac:dyDescent="0.2">
      <c r="A65" s="308" t="str">
        <f>A38</f>
        <v>Golden Sweet Co. Ltd</v>
      </c>
      <c r="B65" s="14">
        <f t="shared" si="34"/>
        <v>11</v>
      </c>
      <c r="C65" s="75">
        <f>B65/$C$1</f>
        <v>1.7214397496087636E-2</v>
      </c>
      <c r="D65" s="222">
        <f t="shared" si="36"/>
        <v>2.64</v>
      </c>
      <c r="E65" s="210">
        <f t="shared" ref="E65" si="38">D65/E$1</f>
        <v>1.4455456387231015E-2</v>
      </c>
      <c r="F65" s="81"/>
      <c r="G65" s="81"/>
      <c r="H65" s="81"/>
      <c r="I65"/>
      <c r="J65"/>
      <c r="K65"/>
    </row>
    <row r="66" spans="1:11" ht="17" thickBot="1" x14ac:dyDescent="0.25">
      <c r="A66" s="211" t="str">
        <f>A51</f>
        <v>Others / unidentified</v>
      </c>
      <c r="B66" s="31">
        <f>SUM(C39:C52)</f>
        <v>189</v>
      </c>
      <c r="C66" s="85">
        <f>B66/$C$1</f>
        <v>0.29577464788732394</v>
      </c>
      <c r="D66" s="223">
        <f>SUM(I39:I52)</f>
        <v>57.230000000000004</v>
      </c>
      <c r="E66" s="212">
        <f t="shared" si="37"/>
        <v>0.31336582160652687</v>
      </c>
      <c r="F66" s="81"/>
      <c r="G66" s="81"/>
      <c r="H66" s="81"/>
      <c r="I66"/>
      <c r="J66"/>
      <c r="K66"/>
    </row>
    <row r="67" spans="1:11" x14ac:dyDescent="0.2">
      <c r="A67" s="76"/>
      <c r="B67" s="77">
        <f>SUM(B57:B66)-$C$1</f>
        <v>0</v>
      </c>
      <c r="C67" s="78"/>
      <c r="D67" s="77">
        <f>SUM(D57:D66)-E1</f>
        <v>0</v>
      </c>
      <c r="E67" s="81"/>
      <c r="F67" s="81"/>
      <c r="G67" s="81"/>
      <c r="H67" s="81"/>
      <c r="I67"/>
      <c r="J67"/>
      <c r="K67"/>
    </row>
    <row r="68" spans="1:11" x14ac:dyDescent="0.2">
      <c r="A68" s="221"/>
      <c r="B68" s="82"/>
      <c r="C68" s="78"/>
      <c r="D68" s="80"/>
      <c r="E68" s="81"/>
      <c r="F68" s="81"/>
      <c r="G68" s="81"/>
      <c r="H68" s="81"/>
      <c r="I68"/>
      <c r="J68"/>
      <c r="K68"/>
    </row>
    <row r="69" spans="1:11" x14ac:dyDescent="0.2">
      <c r="A69" s="76"/>
      <c r="B69" s="82"/>
      <c r="C69" s="78"/>
      <c r="D69" s="80"/>
      <c r="E69" s="81"/>
      <c r="F69" s="81"/>
      <c r="G69" s="81"/>
      <c r="H69" s="81"/>
      <c r="I69"/>
      <c r="J69"/>
      <c r="K69"/>
    </row>
    <row r="70" spans="1:11" x14ac:dyDescent="0.2">
      <c r="A70" s="76"/>
      <c r="B70" s="82"/>
      <c r="C70" s="78"/>
      <c r="D70" s="80"/>
      <c r="E70" s="81"/>
      <c r="F70" s="81"/>
      <c r="G70" s="81"/>
      <c r="H70" s="81"/>
      <c r="I70"/>
      <c r="J70"/>
      <c r="K70"/>
    </row>
    <row r="71" spans="1:11" x14ac:dyDescent="0.2">
      <c r="A71" s="82"/>
      <c r="B71" s="82"/>
      <c r="C71" s="83"/>
      <c r="D71" s="80"/>
      <c r="E71" s="81"/>
      <c r="F71" s="81"/>
      <c r="G71" s="81"/>
      <c r="H71" s="81"/>
      <c r="I71"/>
      <c r="J71"/>
      <c r="K71"/>
    </row>
    <row r="72" spans="1:11" x14ac:dyDescent="0.2">
      <c r="A72" s="76"/>
      <c r="B72" s="82"/>
      <c r="C72" s="78"/>
      <c r="D72" s="80"/>
      <c r="E72" s="81"/>
      <c r="F72" s="81"/>
      <c r="G72" s="81"/>
      <c r="H72" s="81"/>
      <c r="I72"/>
      <c r="J72"/>
      <c r="K72"/>
    </row>
    <row r="73" spans="1:11" x14ac:dyDescent="0.2">
      <c r="A73" s="10"/>
      <c r="C73" s="6"/>
      <c r="D73" s="6"/>
      <c r="E73" s="5"/>
      <c r="F73" s="5"/>
      <c r="G73" s="5"/>
      <c r="H73" s="5"/>
      <c r="I73"/>
      <c r="J73"/>
      <c r="K73"/>
    </row>
    <row r="74" spans="1:11" ht="17" thickBot="1" x14ac:dyDescent="0.25">
      <c r="C74" s="6"/>
      <c r="D74" s="6"/>
      <c r="E74" s="5"/>
      <c r="F74" s="5"/>
      <c r="G74" s="5"/>
      <c r="H74" s="5"/>
      <c r="I74"/>
      <c r="J74"/>
      <c r="K74"/>
    </row>
    <row r="75" spans="1:11" x14ac:dyDescent="0.2">
      <c r="A75" s="416" t="s">
        <v>126</v>
      </c>
      <c r="B75" s="417"/>
      <c r="C75" s="417"/>
      <c r="D75" s="417"/>
      <c r="E75" s="418"/>
      <c r="F75" s="81"/>
      <c r="G75" s="81"/>
      <c r="H75" s="81"/>
      <c r="I75"/>
      <c r="J75"/>
      <c r="K75"/>
    </row>
    <row r="76" spans="1:11" x14ac:dyDescent="0.2">
      <c r="A76" s="213" t="s">
        <v>1</v>
      </c>
      <c r="B76" s="208" t="s">
        <v>614</v>
      </c>
      <c r="C76" s="209"/>
      <c r="D76" s="214" t="s">
        <v>617</v>
      </c>
      <c r="E76" s="215"/>
      <c r="F76" s="81"/>
      <c r="G76" s="81"/>
      <c r="H76" s="81"/>
      <c r="I76"/>
      <c r="J76"/>
      <c r="K76"/>
    </row>
    <row r="77" spans="1:11" x14ac:dyDescent="0.2">
      <c r="A77" s="79" t="str">
        <f>E4</f>
        <v>Other food</v>
      </c>
      <c r="B77" s="14">
        <f>SUMIF($E$4:$E$89,A77,$C$4:$C$89)</f>
        <v>623</v>
      </c>
      <c r="C77" s="75">
        <f t="shared" ref="C77:C78" si="39">B77/$C$1</f>
        <v>0.97496087636932705</v>
      </c>
      <c r="D77" s="222">
        <f>SUMIF($E$4:$E$52,A77,$I$4:$I$52)</f>
        <v>179.27</v>
      </c>
      <c r="E77" s="210">
        <f>D77/E1</f>
        <v>0.98160214641625154</v>
      </c>
      <c r="F77" s="81"/>
      <c r="G77" s="81"/>
      <c r="H77" s="81"/>
      <c r="I77"/>
      <c r="J77"/>
      <c r="K77"/>
    </row>
    <row r="78" spans="1:11" ht="17" thickBot="1" x14ac:dyDescent="0.25">
      <c r="A78" s="84" t="s">
        <v>656</v>
      </c>
      <c r="B78" s="31">
        <f>SUMIF($E$4:$E$89,A78,$C$4:$C$89)</f>
        <v>16</v>
      </c>
      <c r="C78" s="85">
        <f t="shared" si="39"/>
        <v>2.5039123630672927E-2</v>
      </c>
      <c r="D78" s="223">
        <f>SUMIF($E$4:$E$52,A78,$I$4:$I$52)</f>
        <v>3.36</v>
      </c>
      <c r="E78" s="212">
        <f>D78/E1</f>
        <v>1.8397853583748562E-2</v>
      </c>
      <c r="F78" s="81"/>
      <c r="G78" s="81"/>
      <c r="H78" s="81"/>
      <c r="I78"/>
      <c r="J78"/>
      <c r="K78"/>
    </row>
    <row r="79" spans="1:11" x14ac:dyDescent="0.2">
      <c r="A79" s="76"/>
      <c r="B79" s="77">
        <f ca="1">SUM(B77:B89)-$C$1</f>
        <v>0</v>
      </c>
      <c r="C79" s="78"/>
      <c r="D79" s="226">
        <f>SUM(D77:D78)-E1</f>
        <v>0</v>
      </c>
      <c r="E79" s="81"/>
      <c r="F79" s="81"/>
      <c r="G79" s="81"/>
      <c r="H79" s="81"/>
      <c r="I79"/>
      <c r="J79"/>
      <c r="K79"/>
    </row>
    <row r="80" spans="1:11" x14ac:dyDescent="0.2">
      <c r="A80" s="76"/>
      <c r="B80" s="82"/>
      <c r="C80" s="78"/>
      <c r="D80" s="80"/>
      <c r="E80" s="81"/>
      <c r="F80" s="81"/>
      <c r="G80" s="81"/>
      <c r="H80" s="81"/>
      <c r="I80"/>
      <c r="J80"/>
      <c r="K80"/>
    </row>
    <row r="81" spans="1:11" x14ac:dyDescent="0.2">
      <c r="A81" s="76"/>
      <c r="B81" s="82"/>
      <c r="C81" s="78"/>
      <c r="D81" s="80"/>
      <c r="E81" s="81"/>
      <c r="F81" s="81"/>
      <c r="G81" s="81"/>
      <c r="H81" s="81"/>
      <c r="I81"/>
      <c r="J81"/>
      <c r="K81"/>
    </row>
    <row r="82" spans="1:11" x14ac:dyDescent="0.2">
      <c r="A82" s="76"/>
      <c r="B82" s="82"/>
      <c r="C82" s="78"/>
      <c r="D82" s="80"/>
      <c r="E82" s="81"/>
      <c r="F82" s="81"/>
      <c r="G82" s="81"/>
      <c r="H82" s="81"/>
      <c r="I82"/>
      <c r="J82"/>
      <c r="K82"/>
    </row>
    <row r="83" spans="1:11" x14ac:dyDescent="0.2">
      <c r="A83" s="76"/>
      <c r="B83" s="82"/>
      <c r="C83" s="78"/>
      <c r="D83" s="80"/>
      <c r="E83" s="81"/>
      <c r="F83" s="81"/>
      <c r="G83" s="81"/>
      <c r="H83" s="81"/>
      <c r="I83"/>
      <c r="J83"/>
      <c r="K83"/>
    </row>
    <row r="84" spans="1:11" x14ac:dyDescent="0.2">
      <c r="A84" s="76"/>
      <c r="B84" s="82"/>
      <c r="C84" s="78"/>
      <c r="D84" s="80"/>
      <c r="E84" s="81"/>
      <c r="F84" s="81"/>
      <c r="G84" s="81"/>
      <c r="H84" s="81"/>
      <c r="I84"/>
      <c r="J84"/>
      <c r="K84"/>
    </row>
    <row r="85" spans="1:11" x14ac:dyDescent="0.2">
      <c r="A85" s="76"/>
      <c r="B85" s="82"/>
      <c r="C85" s="78"/>
      <c r="D85" s="80"/>
      <c r="E85" s="81"/>
      <c r="F85" s="81"/>
      <c r="G85" s="81"/>
      <c r="H85" s="81"/>
      <c r="I85"/>
      <c r="J85"/>
      <c r="K85"/>
    </row>
    <row r="86" spans="1:11" x14ac:dyDescent="0.2">
      <c r="A86" s="76"/>
      <c r="B86" s="82"/>
      <c r="C86" s="78"/>
      <c r="D86" s="80"/>
      <c r="E86" s="81"/>
      <c r="F86" s="81"/>
      <c r="G86" s="81"/>
      <c r="H86" s="81"/>
      <c r="I86"/>
      <c r="J86"/>
      <c r="K86"/>
    </row>
    <row r="87" spans="1:11" x14ac:dyDescent="0.2">
      <c r="A87" s="76"/>
      <c r="B87" s="82"/>
      <c r="C87" s="78"/>
      <c r="D87" s="80"/>
      <c r="E87" s="81"/>
      <c r="F87" s="81"/>
      <c r="G87" s="81"/>
      <c r="H87" s="81"/>
      <c r="I87"/>
      <c r="J87"/>
      <c r="K87"/>
    </row>
    <row r="88" spans="1:11" x14ac:dyDescent="0.2">
      <c r="A88" s="76"/>
      <c r="B88" s="82"/>
      <c r="C88" s="78"/>
      <c r="D88" s="80"/>
      <c r="E88" s="81"/>
      <c r="F88" s="81"/>
      <c r="G88" s="81"/>
      <c r="H88" s="81"/>
      <c r="I88"/>
      <c r="J88"/>
      <c r="K88"/>
    </row>
    <row r="89" spans="1:11" x14ac:dyDescent="0.2">
      <c r="A89" s="76"/>
      <c r="B89" s="82"/>
      <c r="C89" s="78"/>
      <c r="D89" s="80"/>
      <c r="E89" s="81"/>
      <c r="F89" s="81"/>
      <c r="G89" s="81"/>
      <c r="H89" s="81"/>
      <c r="I89"/>
      <c r="J89"/>
      <c r="K89"/>
    </row>
    <row r="90" spans="1:11" x14ac:dyDescent="0.2">
      <c r="A90" s="216"/>
      <c r="C90" s="82"/>
      <c r="D90" s="80"/>
      <c r="E90" s="81"/>
      <c r="F90" s="81"/>
      <c r="G90" s="81"/>
      <c r="H90" s="81"/>
      <c r="I90"/>
      <c r="J90"/>
      <c r="K90"/>
    </row>
    <row r="91" spans="1:11" x14ac:dyDescent="0.2">
      <c r="A91" s="216"/>
      <c r="B91" s="76"/>
      <c r="C91" s="82"/>
      <c r="D91" s="80"/>
      <c r="E91" s="81"/>
      <c r="F91" s="81"/>
      <c r="G91" s="81"/>
      <c r="H91" s="81"/>
      <c r="I91"/>
      <c r="J91"/>
      <c r="K91"/>
    </row>
    <row r="92" spans="1:11" x14ac:dyDescent="0.2">
      <c r="A92" s="216"/>
      <c r="B92" s="76"/>
      <c r="C92" s="82"/>
      <c r="D92" s="80"/>
      <c r="E92" s="81"/>
      <c r="F92" s="81"/>
      <c r="G92" s="81"/>
      <c r="H92" s="81"/>
      <c r="I92"/>
      <c r="J92"/>
      <c r="K92"/>
    </row>
    <row r="93" spans="1:11" ht="17" thickBot="1" x14ac:dyDescent="0.25">
      <c r="C93" s="6"/>
      <c r="D93" s="6"/>
      <c r="E93" s="5"/>
      <c r="F93" s="5"/>
      <c r="G93" s="5"/>
      <c r="H93" s="5"/>
      <c r="I93"/>
      <c r="J93"/>
      <c r="K93"/>
    </row>
    <row r="94" spans="1:11" x14ac:dyDescent="0.2">
      <c r="A94" s="413" t="s">
        <v>128</v>
      </c>
      <c r="B94" s="414"/>
      <c r="C94" s="414"/>
      <c r="D94" s="414"/>
      <c r="E94" s="415"/>
      <c r="F94" s="5"/>
      <c r="G94" s="5"/>
      <c r="H94" s="5"/>
      <c r="I94"/>
      <c r="J94"/>
      <c r="K94"/>
    </row>
    <row r="95" spans="1:11" x14ac:dyDescent="0.2">
      <c r="A95" s="213" t="s">
        <v>618</v>
      </c>
      <c r="B95" s="208" t="s">
        <v>614</v>
      </c>
      <c r="C95" s="209"/>
      <c r="D95" s="214" t="s">
        <v>617</v>
      </c>
      <c r="E95" s="215"/>
      <c r="F95" s="81"/>
      <c r="G95" s="81"/>
      <c r="H95" s="81"/>
      <c r="I95"/>
      <c r="J95"/>
      <c r="K95"/>
    </row>
    <row r="96" spans="1:11" x14ac:dyDescent="0.2">
      <c r="A96" s="79" t="s">
        <v>6</v>
      </c>
      <c r="B96" s="14">
        <f>SUMIF($G$4:$G$89,A96,$C$4:$C$89)</f>
        <v>227</v>
      </c>
      <c r="C96" s="75">
        <f>B96/$C$1</f>
        <v>0.35524256651017216</v>
      </c>
      <c r="D96" s="222">
        <f>SUMIF($G$4:$G$52,A96,$I$4:$I$52)</f>
        <v>60.68</v>
      </c>
      <c r="E96" s="210">
        <f>D96/E1</f>
        <v>0.33225647483984011</v>
      </c>
      <c r="F96" s="81"/>
      <c r="G96" s="81"/>
      <c r="H96" s="81"/>
      <c r="I96"/>
      <c r="J96"/>
      <c r="K96"/>
    </row>
    <row r="97" spans="1:11" ht="17" thickBot="1" x14ac:dyDescent="0.25">
      <c r="A97" s="84" t="s">
        <v>7</v>
      </c>
      <c r="B97" s="31">
        <f>SUMIF($G$4:$G$89,A97,$C$4:$C$89)</f>
        <v>412</v>
      </c>
      <c r="C97" s="85">
        <f>B97/$C$1</f>
        <v>0.64475743348982784</v>
      </c>
      <c r="D97" s="223">
        <f>SUMIF($G$4:$G$52,A97,$I$4:$I$52)</f>
        <v>121.95000000000003</v>
      </c>
      <c r="E97" s="212">
        <f>D97/E1</f>
        <v>0.66774352516016011</v>
      </c>
      <c r="F97" s="81"/>
      <c r="G97" s="81"/>
      <c r="H97" s="81"/>
      <c r="I97"/>
      <c r="J97"/>
      <c r="K97"/>
    </row>
    <row r="98" spans="1:11" x14ac:dyDescent="0.2">
      <c r="A98" s="76"/>
      <c r="B98" s="77">
        <f>B96+B97-$C$1</f>
        <v>0</v>
      </c>
      <c r="C98" s="82"/>
      <c r="D98" s="226">
        <f>SUM(D96:D97)-E1</f>
        <v>0</v>
      </c>
      <c r="E98" s="81"/>
      <c r="F98" s="81"/>
      <c r="G98" s="81"/>
      <c r="H98" s="81"/>
      <c r="I98"/>
      <c r="J98"/>
      <c r="K98"/>
    </row>
    <row r="99" spans="1:11" x14ac:dyDescent="0.2">
      <c r="A99" s="82"/>
      <c r="B99" s="82"/>
      <c r="C99" s="80"/>
      <c r="D99" s="80"/>
      <c r="E99" s="81"/>
      <c r="F99" s="81"/>
      <c r="G99" s="81"/>
      <c r="H99" s="81"/>
      <c r="I99"/>
      <c r="J99"/>
      <c r="K99"/>
    </row>
    <row r="100" spans="1:11" x14ac:dyDescent="0.2">
      <c r="A100" s="82"/>
      <c r="B100" s="82"/>
      <c r="C100" s="80"/>
      <c r="D100" s="80"/>
      <c r="E100" s="81"/>
      <c r="F100" s="81"/>
      <c r="G100" s="81"/>
      <c r="H100" s="81"/>
      <c r="I100"/>
      <c r="J100"/>
      <c r="K100"/>
    </row>
    <row r="101" spans="1:11" x14ac:dyDescent="0.2">
      <c r="A101" s="82"/>
      <c r="B101" s="82"/>
      <c r="C101" s="80"/>
      <c r="D101" s="80"/>
      <c r="E101" s="81"/>
      <c r="F101" s="81"/>
      <c r="G101" s="81"/>
      <c r="H101" s="81"/>
      <c r="I101"/>
      <c r="J101"/>
      <c r="K101"/>
    </row>
    <row r="102" spans="1:11" x14ac:dyDescent="0.2">
      <c r="A102" s="82"/>
      <c r="B102" s="82"/>
      <c r="C102" s="80"/>
      <c r="D102" s="80"/>
      <c r="E102" s="81"/>
      <c r="F102" s="81"/>
      <c r="G102" s="81"/>
      <c r="H102" s="81"/>
      <c r="I102"/>
      <c r="J102"/>
      <c r="K102"/>
    </row>
    <row r="103" spans="1:11" x14ac:dyDescent="0.2">
      <c r="A103" s="82"/>
      <c r="B103" s="82"/>
      <c r="C103" s="80"/>
      <c r="D103" s="80"/>
      <c r="E103" s="81"/>
      <c r="F103" s="81"/>
      <c r="G103" s="81"/>
      <c r="H103" s="81"/>
      <c r="I103"/>
      <c r="J103"/>
      <c r="K103"/>
    </row>
    <row r="104" spans="1:11" x14ac:dyDescent="0.2">
      <c r="A104" s="82"/>
      <c r="B104" s="82"/>
      <c r="C104" s="80"/>
      <c r="D104" s="80"/>
      <c r="E104" s="81"/>
      <c r="F104" s="81"/>
      <c r="G104" s="81"/>
      <c r="H104" s="81"/>
      <c r="I104"/>
      <c r="J104"/>
      <c r="K104"/>
    </row>
    <row r="105" spans="1:11" x14ac:dyDescent="0.2">
      <c r="A105" s="82"/>
      <c r="B105" s="82"/>
      <c r="C105" s="80"/>
      <c r="D105" s="80"/>
      <c r="E105" s="81"/>
      <c r="F105" s="81"/>
      <c r="G105" s="81"/>
      <c r="H105" s="81"/>
      <c r="I105"/>
      <c r="J105"/>
      <c r="K105"/>
    </row>
    <row r="106" spans="1:11" x14ac:dyDescent="0.2">
      <c r="A106" s="82"/>
      <c r="B106" s="82"/>
      <c r="C106" s="80"/>
      <c r="D106" s="80"/>
      <c r="E106" s="81"/>
      <c r="F106" s="81"/>
      <c r="G106" s="81"/>
      <c r="H106" s="81"/>
      <c r="I106"/>
      <c r="J106"/>
      <c r="K106"/>
    </row>
    <row r="107" spans="1:11" x14ac:dyDescent="0.2">
      <c r="A107" s="82"/>
      <c r="B107" s="82"/>
      <c r="C107" s="80"/>
      <c r="D107" s="80"/>
      <c r="E107" s="81"/>
      <c r="F107" s="81"/>
      <c r="G107" s="81"/>
      <c r="H107" s="81"/>
      <c r="I107"/>
      <c r="J107"/>
      <c r="K107"/>
    </row>
    <row r="108" spans="1:11" x14ac:dyDescent="0.2">
      <c r="A108" s="82"/>
      <c r="B108" s="82"/>
      <c r="C108" s="80"/>
      <c r="D108" s="80"/>
      <c r="E108" s="81"/>
      <c r="F108" s="81"/>
      <c r="G108" s="81"/>
      <c r="H108" s="81"/>
      <c r="I108"/>
      <c r="J108"/>
      <c r="K108"/>
    </row>
    <row r="109" spans="1:11" x14ac:dyDescent="0.2">
      <c r="A109" s="82"/>
      <c r="B109" s="82"/>
      <c r="C109" s="80"/>
      <c r="D109" s="80"/>
      <c r="E109" s="81"/>
      <c r="F109" s="81"/>
      <c r="G109" s="81"/>
      <c r="H109" s="81"/>
      <c r="I109"/>
      <c r="J109"/>
      <c r="K109"/>
    </row>
    <row r="110" spans="1:11" x14ac:dyDescent="0.2">
      <c r="C110" s="6"/>
      <c r="D110" s="6"/>
      <c r="E110" s="5"/>
      <c r="F110" s="5"/>
      <c r="G110" s="5"/>
      <c r="H110" s="5"/>
      <c r="I110"/>
      <c r="J110"/>
      <c r="K110"/>
    </row>
    <row r="111" spans="1:11" ht="17" thickBot="1" x14ac:dyDescent="0.25">
      <c r="C111" s="6"/>
      <c r="D111" s="6"/>
      <c r="E111" s="5"/>
      <c r="F111" s="5"/>
      <c r="G111" s="5"/>
      <c r="H111" s="5"/>
      <c r="I111"/>
      <c r="J111"/>
      <c r="K111"/>
    </row>
    <row r="112" spans="1:11" x14ac:dyDescent="0.2">
      <c r="A112" s="413" t="s">
        <v>619</v>
      </c>
      <c r="B112" s="414"/>
      <c r="C112" s="414"/>
      <c r="D112" s="414"/>
      <c r="E112" s="415"/>
      <c r="F112" s="81"/>
      <c r="G112" s="81"/>
      <c r="H112" s="81"/>
      <c r="I112"/>
      <c r="J112"/>
      <c r="K112"/>
    </row>
    <row r="113" spans="1:11" x14ac:dyDescent="0.2">
      <c r="A113" s="213" t="s">
        <v>622</v>
      </c>
      <c r="B113" s="208" t="s">
        <v>614</v>
      </c>
      <c r="C113" s="209"/>
      <c r="D113" s="214" t="s">
        <v>617</v>
      </c>
      <c r="E113" s="215"/>
      <c r="F113" s="81"/>
      <c r="G113" s="81"/>
      <c r="H113" s="81"/>
      <c r="I113"/>
      <c r="J113"/>
      <c r="K113"/>
    </row>
    <row r="114" spans="1:11" x14ac:dyDescent="0.2">
      <c r="A114" s="79" t="str">
        <f>H5</f>
        <v xml:space="preserve">Reusing </v>
      </c>
      <c r="B114" s="14">
        <f>SUMIF($H$4:$H$89,A114,$C$4:$C$89)</f>
        <v>292</v>
      </c>
      <c r="C114" s="75">
        <f>B114/$C$1</f>
        <v>0.4569640062597809</v>
      </c>
      <c r="D114" s="222">
        <f>SUMIF($H$4:$H$52,A114,$I$4:$I$52)</f>
        <v>90.95</v>
      </c>
      <c r="E114" s="210">
        <f>D114/E1</f>
        <v>0.49800142364343208</v>
      </c>
      <c r="F114" s="81"/>
      <c r="G114" s="81"/>
      <c r="H114" s="81"/>
      <c r="I114"/>
      <c r="J114"/>
      <c r="K114"/>
    </row>
    <row r="115" spans="1:11" ht="17" thickBot="1" x14ac:dyDescent="0.25">
      <c r="A115" s="84" t="str">
        <f>H17</f>
        <v>Downcyling</v>
      </c>
      <c r="B115" s="31">
        <f>SUMIF($H$4:$H$89,A115,$C$4:$C$89)</f>
        <v>347</v>
      </c>
      <c r="C115" s="85">
        <f>B115/$C$1</f>
        <v>0.54303599374021905</v>
      </c>
      <c r="D115" s="223">
        <f>SUMIF($H$4:$H$52,A115,$I$4:$I$52)</f>
        <v>91.68</v>
      </c>
      <c r="E115" s="212">
        <f>D115/E1</f>
        <v>0.50199857635656797</v>
      </c>
      <c r="F115" s="81"/>
      <c r="G115" s="81"/>
      <c r="H115" s="81"/>
      <c r="I115"/>
      <c r="J115"/>
      <c r="K115"/>
    </row>
    <row r="116" spans="1:11" x14ac:dyDescent="0.2">
      <c r="A116" s="82"/>
      <c r="B116" s="77">
        <f>B114+B115-$C$1</f>
        <v>0</v>
      </c>
      <c r="C116" s="82"/>
      <c r="D116" s="226">
        <f>SUM(D114:D115)-E1</f>
        <v>0</v>
      </c>
      <c r="E116" s="81"/>
      <c r="F116" s="81"/>
      <c r="G116" s="81"/>
      <c r="H116" s="81"/>
      <c r="I116"/>
      <c r="J116"/>
      <c r="K116"/>
    </row>
    <row r="117" spans="1:11" x14ac:dyDescent="0.2">
      <c r="A117" s="82"/>
      <c r="B117" s="82"/>
      <c r="C117" s="80"/>
      <c r="D117" s="80"/>
      <c r="E117" s="81"/>
      <c r="F117" s="81"/>
      <c r="G117" s="81"/>
      <c r="H117" s="81"/>
      <c r="I117"/>
      <c r="J117"/>
      <c r="K117"/>
    </row>
    <row r="118" spans="1:11" x14ac:dyDescent="0.2">
      <c r="A118" s="82"/>
      <c r="B118" s="82"/>
      <c r="C118" s="80"/>
      <c r="D118" s="80"/>
      <c r="E118" s="81"/>
      <c r="F118" s="81"/>
      <c r="G118" s="81"/>
      <c r="H118" s="81"/>
      <c r="I118"/>
      <c r="J118"/>
      <c r="K118"/>
    </row>
    <row r="119" spans="1:11" x14ac:dyDescent="0.2">
      <c r="A119" s="82"/>
      <c r="B119" s="82"/>
      <c r="C119" s="80"/>
      <c r="D119" s="80"/>
      <c r="E119" s="81"/>
      <c r="F119" s="81"/>
      <c r="G119" s="81"/>
      <c r="H119" s="81"/>
      <c r="I119"/>
      <c r="J119"/>
      <c r="K119"/>
    </row>
    <row r="120" spans="1:11" x14ac:dyDescent="0.2">
      <c r="A120" s="82"/>
      <c r="B120" s="82"/>
      <c r="C120" s="80"/>
      <c r="D120" s="80"/>
      <c r="E120" s="81"/>
      <c r="F120" s="81"/>
      <c r="G120" s="81"/>
      <c r="H120" s="81"/>
      <c r="I120"/>
      <c r="J120"/>
      <c r="K120"/>
    </row>
    <row r="121" spans="1:11" x14ac:dyDescent="0.2">
      <c r="A121" s="82"/>
      <c r="B121" s="82"/>
      <c r="C121" s="80"/>
      <c r="D121" s="80"/>
      <c r="E121" s="81"/>
      <c r="F121" s="81"/>
      <c r="G121" s="81"/>
      <c r="H121" s="81"/>
      <c r="I121"/>
      <c r="J121"/>
      <c r="K121"/>
    </row>
    <row r="122" spans="1:11" x14ac:dyDescent="0.2">
      <c r="A122" s="82"/>
      <c r="B122" s="82"/>
      <c r="C122" s="80"/>
      <c r="D122" s="80"/>
      <c r="E122" s="81"/>
      <c r="F122" s="81"/>
      <c r="G122" s="81"/>
      <c r="H122" s="81"/>
      <c r="I122"/>
      <c r="J122"/>
      <c r="K122"/>
    </row>
    <row r="123" spans="1:11" x14ac:dyDescent="0.2">
      <c r="A123" s="82"/>
      <c r="B123" s="82"/>
      <c r="C123" s="80"/>
      <c r="D123" s="80"/>
      <c r="E123" s="81"/>
      <c r="F123" s="81"/>
      <c r="G123" s="81"/>
      <c r="H123" s="81"/>
      <c r="I123"/>
      <c r="J123"/>
      <c r="K123"/>
    </row>
    <row r="124" spans="1:11" x14ac:dyDescent="0.2">
      <c r="A124" s="82"/>
      <c r="B124" s="82"/>
      <c r="C124" s="80"/>
      <c r="D124" s="80"/>
      <c r="E124" s="81"/>
      <c r="F124" s="81"/>
      <c r="G124" s="81"/>
      <c r="H124" s="81"/>
      <c r="I124"/>
      <c r="J124"/>
      <c r="K124"/>
    </row>
    <row r="125" spans="1:11" x14ac:dyDescent="0.2">
      <c r="A125" s="82"/>
      <c r="B125" s="82"/>
      <c r="C125" s="80"/>
      <c r="D125" s="80"/>
      <c r="E125" s="81"/>
      <c r="F125" s="81"/>
      <c r="G125" s="81"/>
      <c r="H125" s="81"/>
      <c r="I125"/>
      <c r="J125"/>
      <c r="K125"/>
    </row>
    <row r="126" spans="1:11" x14ac:dyDescent="0.2">
      <c r="A126" s="82"/>
      <c r="B126" s="82"/>
      <c r="C126" s="80"/>
      <c r="D126" s="80"/>
      <c r="E126" s="81"/>
      <c r="F126" s="81"/>
      <c r="G126" s="81"/>
      <c r="H126" s="81"/>
      <c r="I126"/>
      <c r="J126"/>
      <c r="K126"/>
    </row>
    <row r="127" spans="1:11" x14ac:dyDescent="0.2">
      <c r="A127" s="82"/>
      <c r="B127" s="82"/>
      <c r="C127" s="80"/>
      <c r="D127" s="80"/>
      <c r="E127" s="81"/>
      <c r="F127" s="81"/>
      <c r="G127" s="81"/>
      <c r="H127" s="81"/>
      <c r="I127"/>
      <c r="J127"/>
      <c r="K127"/>
    </row>
  </sheetData>
  <mergeCells count="6">
    <mergeCell ref="A112:E112"/>
    <mergeCell ref="C3:D3"/>
    <mergeCell ref="C1:D1"/>
    <mergeCell ref="A55:E55"/>
    <mergeCell ref="A75:E75"/>
    <mergeCell ref="A94:E9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41B6-8DC6-D043-B50D-968454AC2AE4}">
  <sheetPr>
    <tabColor theme="1"/>
  </sheetPr>
  <dimension ref="A1:K107"/>
  <sheetViews>
    <sheetView zoomScaleNormal="100" workbookViewId="0"/>
  </sheetViews>
  <sheetFormatPr baseColWidth="10" defaultColWidth="10.6640625" defaultRowHeight="16" x14ac:dyDescent="0.2"/>
  <cols>
    <col min="1" max="1" width="28.6640625" style="1" customWidth="1"/>
    <col min="2" max="2" width="33.1640625" style="1" customWidth="1"/>
    <col min="3" max="3" width="7.1640625" customWidth="1"/>
    <col min="4" max="4" width="6.5" customWidth="1"/>
    <col min="5" max="6" width="21" customWidth="1"/>
    <col min="7" max="7" width="11.33203125" customWidth="1"/>
    <col min="8" max="8" width="40" customWidth="1"/>
    <col min="9" max="9" width="11.83203125" style="157" customWidth="1"/>
    <col min="10" max="10" width="11.83203125" style="158" customWidth="1"/>
    <col min="11" max="11" width="10.83203125" style="143"/>
  </cols>
  <sheetData>
    <row r="1" spans="1:11" s="4" customFormat="1" ht="34" x14ac:dyDescent="0.4">
      <c r="A1" s="3" t="s">
        <v>439</v>
      </c>
      <c r="B1" s="152"/>
      <c r="C1" s="422">
        <f>'Glass bot.'!C1:D1+'Glass jars'!C1:D1</f>
        <v>3734</v>
      </c>
      <c r="D1" s="422"/>
      <c r="E1" s="108">
        <f>'Glass bot.'!E1+'Glass jars'!E1</f>
        <v>1569.6290000000004</v>
      </c>
      <c r="F1" s="107" t="s">
        <v>236</v>
      </c>
      <c r="I1" s="155"/>
      <c r="J1" s="156"/>
      <c r="K1" s="142"/>
    </row>
    <row r="2" spans="1:11" x14ac:dyDescent="0.2">
      <c r="D2" s="8"/>
    </row>
    <row r="3" spans="1:11" s="83" customFormat="1" x14ac:dyDescent="0.2">
      <c r="A3" s="82"/>
      <c r="B3" s="82"/>
      <c r="C3" s="81"/>
      <c r="D3" s="179"/>
      <c r="E3" s="81"/>
      <c r="F3" s="81"/>
      <c r="G3" s="81"/>
      <c r="H3" s="81"/>
      <c r="I3" s="180"/>
      <c r="J3" s="110"/>
      <c r="K3" s="181">
        <f t="shared" ref="K3:K4" si="0">J3*C3/1000</f>
        <v>0</v>
      </c>
    </row>
    <row r="4" spans="1:11" s="83" customFormat="1" ht="17" thickBot="1" x14ac:dyDescent="0.25">
      <c r="A4" s="82"/>
      <c r="B4" s="82"/>
      <c r="C4" s="81"/>
      <c r="D4" s="179"/>
      <c r="E4" s="81"/>
      <c r="F4" s="81"/>
      <c r="G4" s="81"/>
      <c r="H4" s="81"/>
      <c r="I4" s="180"/>
      <c r="J4" s="110"/>
      <c r="K4" s="181">
        <f t="shared" si="0"/>
        <v>0</v>
      </c>
    </row>
    <row r="5" spans="1:11" x14ac:dyDescent="0.2">
      <c r="A5" s="413" t="s">
        <v>623</v>
      </c>
      <c r="B5" s="414"/>
      <c r="C5" s="414"/>
      <c r="D5" s="414"/>
      <c r="E5" s="415"/>
      <c r="F5" s="81"/>
      <c r="G5" s="81"/>
      <c r="H5" s="81"/>
      <c r="I5"/>
      <c r="J5"/>
      <c r="K5"/>
    </row>
    <row r="6" spans="1:11" x14ac:dyDescent="0.2">
      <c r="A6" s="213" t="s">
        <v>613</v>
      </c>
      <c r="B6" s="208" t="s">
        <v>614</v>
      </c>
      <c r="C6" s="209"/>
      <c r="D6" s="214" t="s">
        <v>617</v>
      </c>
      <c r="E6" s="215"/>
      <c r="F6" s="81"/>
      <c r="G6" s="81"/>
      <c r="H6" s="81"/>
      <c r="I6"/>
      <c r="J6"/>
      <c r="K6"/>
    </row>
    <row r="7" spans="1:11" x14ac:dyDescent="0.2">
      <c r="A7" s="79" t="str">
        <f>'Glass bot.'!A92</f>
        <v>APU</v>
      </c>
      <c r="B7" s="14">
        <f>'Glass bot.'!B92</f>
        <v>1841</v>
      </c>
      <c r="C7" s="227">
        <f>B7/$C$1</f>
        <v>0.49303695768612749</v>
      </c>
      <c r="D7" s="222">
        <f>'Glass bot.'!D92</f>
        <v>908.66000000000042</v>
      </c>
      <c r="E7" s="210">
        <f>D7/E$1</f>
        <v>0.57890112886548362</v>
      </c>
      <c r="F7" s="81"/>
      <c r="G7" s="81"/>
      <c r="H7" s="81"/>
      <c r="I7"/>
      <c r="J7"/>
      <c r="K7"/>
    </row>
    <row r="8" spans="1:11" x14ac:dyDescent="0.2">
      <c r="A8" s="79" t="str">
        <f>'Glass bot.'!A93</f>
        <v>GEM</v>
      </c>
      <c r="B8" s="14">
        <f>'Glass bot.'!B93</f>
        <v>499</v>
      </c>
      <c r="C8" s="227">
        <f t="shared" ref="C8:C9" si="1">B8/$C$1</f>
        <v>0.13363685056239957</v>
      </c>
      <c r="D8" s="222">
        <f>'Glass bot.'!D93</f>
        <v>266.81</v>
      </c>
      <c r="E8" s="210">
        <f t="shared" ref="E8:E16" si="2">D8/E$1</f>
        <v>0.16998284307947925</v>
      </c>
      <c r="F8" s="81"/>
      <c r="G8" s="81"/>
      <c r="H8" s="81"/>
      <c r="I8"/>
      <c r="J8"/>
      <c r="K8"/>
    </row>
    <row r="9" spans="1:11" x14ac:dyDescent="0.2">
      <c r="A9" s="79" t="str">
        <f>'Glass bot.'!A94</f>
        <v>Khikh LLC</v>
      </c>
      <c r="B9" s="14">
        <f>'Glass bot.'!B94</f>
        <v>308</v>
      </c>
      <c r="C9" s="227">
        <f t="shared" si="1"/>
        <v>8.2485270487412957E-2</v>
      </c>
      <c r="D9" s="222">
        <f>'Glass bot.'!D94</f>
        <v>40.963999999999999</v>
      </c>
      <c r="E9" s="210">
        <f t="shared" si="2"/>
        <v>2.6097886825485507E-2</v>
      </c>
      <c r="F9" s="81"/>
      <c r="G9" s="81"/>
      <c r="H9" s="81"/>
      <c r="I9"/>
      <c r="J9"/>
      <c r="K9"/>
    </row>
    <row r="10" spans="1:11" x14ac:dyDescent="0.2">
      <c r="A10" s="79" t="str">
        <f>'Glass jars'!A57</f>
        <v>GBT Trading LLC</v>
      </c>
      <c r="B10" s="14">
        <f>'Glass jars'!B57</f>
        <v>141</v>
      </c>
      <c r="C10" s="227">
        <f t="shared" ref="C10:C16" si="3">B10/$C$1</f>
        <v>3.7761114086770221E-2</v>
      </c>
      <c r="D10" s="222">
        <f>'Glass jars'!D57</f>
        <v>40.960000000000008</v>
      </c>
      <c r="E10" s="210">
        <f t="shared" si="2"/>
        <v>2.609533845258975E-2</v>
      </c>
      <c r="F10" s="81"/>
      <c r="G10" s="81"/>
      <c r="H10" s="81"/>
      <c r="I10"/>
      <c r="J10"/>
      <c r="K10"/>
    </row>
    <row r="11" spans="1:11" x14ac:dyDescent="0.2">
      <c r="A11" s="79" t="str">
        <f>'Glass jars'!A58</f>
        <v>Gut &amp; Günstig importer</v>
      </c>
      <c r="B11" s="14">
        <f>'Glass jars'!B58</f>
        <v>70</v>
      </c>
      <c r="C11" s="227">
        <f t="shared" si="3"/>
        <v>1.8746652383502947E-2</v>
      </c>
      <c r="D11" s="222">
        <f>'Glass jars'!D58</f>
        <v>17.36</v>
      </c>
      <c r="E11" s="210">
        <f t="shared" si="2"/>
        <v>1.1059938367601514E-2</v>
      </c>
      <c r="F11" s="81"/>
      <c r="G11" s="81"/>
      <c r="H11" s="81"/>
      <c r="I11"/>
      <c r="J11"/>
      <c r="K11"/>
    </row>
    <row r="12" spans="1:11" x14ac:dyDescent="0.2">
      <c r="A12" s="79" t="str">
        <f>'Glass jars'!A59</f>
        <v>Urbanek Mongol LLC</v>
      </c>
      <c r="B12" s="14">
        <f>'Glass jars'!B59</f>
        <v>68</v>
      </c>
      <c r="C12" s="227">
        <f t="shared" si="3"/>
        <v>1.821103374397429E-2</v>
      </c>
      <c r="D12" s="222">
        <f>'Glass jars'!D59</f>
        <v>21.349999999999998</v>
      </c>
      <c r="E12" s="210">
        <f t="shared" si="2"/>
        <v>1.3601940331122827E-2</v>
      </c>
      <c r="F12" s="81"/>
      <c r="G12" s="81"/>
      <c r="H12" s="81"/>
      <c r="I12"/>
      <c r="J12"/>
      <c r="K12"/>
    </row>
    <row r="13" spans="1:11" x14ac:dyDescent="0.2">
      <c r="A13" s="79" t="str">
        <f>'Glass bot.'!A95</f>
        <v>MSM Group</v>
      </c>
      <c r="B13" s="14">
        <f>'Glass bot.'!B95</f>
        <v>59</v>
      </c>
      <c r="C13" s="227">
        <f t="shared" si="3"/>
        <v>1.5800749866095341E-2</v>
      </c>
      <c r="D13" s="222">
        <f>'Glass bot.'!D95</f>
        <v>26.215</v>
      </c>
      <c r="E13" s="210">
        <f t="shared" ref="E13:E14" si="4">D13/E$1</f>
        <v>1.6701398865591802E-2</v>
      </c>
      <c r="F13" s="81"/>
      <c r="G13" s="81"/>
      <c r="H13" s="81"/>
      <c r="I13"/>
      <c r="J13"/>
      <c r="K13"/>
    </row>
    <row r="14" spans="1:11" x14ac:dyDescent="0.2">
      <c r="A14" s="79" t="str">
        <f>'Glass jars'!A60</f>
        <v>Bayasakh International LLC</v>
      </c>
      <c r="B14" s="14">
        <f>'Glass jars'!B60</f>
        <v>54</v>
      </c>
      <c r="C14" s="227">
        <f t="shared" si="3"/>
        <v>1.4461703267273701E-2</v>
      </c>
      <c r="D14" s="222">
        <f>'Glass jars'!D60</f>
        <v>18.22</v>
      </c>
      <c r="E14" s="210">
        <f t="shared" si="4"/>
        <v>1.1607838540190067E-2</v>
      </c>
      <c r="F14" s="81"/>
      <c r="G14" s="81"/>
      <c r="H14" s="81"/>
      <c r="I14"/>
      <c r="J14"/>
      <c r="K14"/>
    </row>
    <row r="15" spans="1:11" x14ac:dyDescent="0.2">
      <c r="A15" s="79" t="str">
        <f>'Glass bot.'!A99</f>
        <v>Nomin Foods LLC</v>
      </c>
      <c r="B15" s="14">
        <f>'Glass bot.'!B99+'Glass jars'!B61</f>
        <v>49</v>
      </c>
      <c r="C15" s="227">
        <f t="shared" si="3"/>
        <v>1.3122656668452063E-2</v>
      </c>
      <c r="D15" s="222">
        <f>'Glass jars'!D61+'Glass bot.'!D99</f>
        <v>10.120000000000001</v>
      </c>
      <c r="E15" s="210">
        <f t="shared" si="2"/>
        <v>6.4473834262746155E-3</v>
      </c>
      <c r="F15" s="81"/>
      <c r="G15" s="81"/>
      <c r="H15" s="81"/>
      <c r="I15"/>
      <c r="J15"/>
      <c r="K15"/>
    </row>
    <row r="16" spans="1:11" ht="17" thickBot="1" x14ac:dyDescent="0.25">
      <c r="A16" s="84" t="str">
        <f>'Glass jars'!A66</f>
        <v>Others / unidentified</v>
      </c>
      <c r="B16" s="241">
        <f>'Glass bot.'!C1-'Glass bot.'!B92-'Glass bot.'!B93-'Glass bot.'!B94-'Glass bot.'!B95+'Glass jars'!C1-'Glass jars'!B57-'Glass jars'!B58-'Glass jars'!B59-'Glass jars'!B61-'Glass bot.'!B99-'Glass jars'!B60</f>
        <v>645</v>
      </c>
      <c r="C16" s="229">
        <f t="shared" si="3"/>
        <v>0.17273701124799143</v>
      </c>
      <c r="D16" s="31">
        <f>'Glass bot.'!E1-'Glass bot.'!D92-'Glass bot.'!D93-'Glass bot.'!D94-'Glass bot.'!D95+'Glass jars'!E1-'Glass jars'!D57-'Glass jars'!D58-'Glass jars'!D59-'Glass jars'!D61-'Glass jars'!D60-'Glass bot.'!D99</f>
        <v>218.96999999999997</v>
      </c>
      <c r="E16" s="212">
        <f t="shared" si="2"/>
        <v>0.13950430324618104</v>
      </c>
      <c r="F16" s="81"/>
      <c r="G16" s="81"/>
      <c r="H16" s="81"/>
      <c r="I16"/>
      <c r="J16"/>
      <c r="K16"/>
    </row>
    <row r="17" spans="1:11" x14ac:dyDescent="0.2">
      <c r="A17" s="82"/>
      <c r="B17" s="322">
        <f>SUM(B7:B16)-$C$1</f>
        <v>0</v>
      </c>
      <c r="C17" s="78"/>
      <c r="D17" s="226">
        <f>SUM(D7:D16)-E1</f>
        <v>0</v>
      </c>
      <c r="E17" s="78"/>
      <c r="F17" s="81"/>
      <c r="G17" s="81"/>
      <c r="H17" s="81"/>
      <c r="I17"/>
      <c r="J17"/>
      <c r="K17"/>
    </row>
    <row r="18" spans="1:11" x14ac:dyDescent="0.2">
      <c r="A18" s="76"/>
      <c r="B18" s="82"/>
      <c r="C18" s="78"/>
      <c r="D18" s="228"/>
      <c r="E18" s="78"/>
      <c r="F18" s="81"/>
      <c r="G18" s="81"/>
      <c r="H18" s="81"/>
      <c r="I18"/>
      <c r="J18"/>
      <c r="K18"/>
    </row>
    <row r="19" spans="1:11" x14ac:dyDescent="0.2">
      <c r="A19" s="76"/>
      <c r="B19" s="82"/>
      <c r="C19" s="78"/>
      <c r="D19" s="228"/>
      <c r="E19" s="78"/>
      <c r="F19" s="81"/>
      <c r="G19" s="81"/>
      <c r="H19" s="81"/>
      <c r="I19"/>
      <c r="J19"/>
      <c r="K19"/>
    </row>
    <row r="20" spans="1:11" x14ac:dyDescent="0.2">
      <c r="A20" s="76"/>
      <c r="B20" s="82"/>
      <c r="C20" s="78"/>
      <c r="D20" s="228"/>
      <c r="E20" s="78"/>
      <c r="F20" s="81"/>
      <c r="G20" s="81"/>
      <c r="H20" s="81"/>
      <c r="I20"/>
      <c r="J20"/>
      <c r="K20"/>
    </row>
    <row r="21" spans="1:11" x14ac:dyDescent="0.2">
      <c r="A21" s="76"/>
      <c r="B21" s="82"/>
      <c r="C21" s="78"/>
      <c r="D21" s="228"/>
      <c r="E21" s="78"/>
      <c r="F21" s="81"/>
      <c r="G21" s="81"/>
      <c r="H21" s="81"/>
      <c r="I21"/>
      <c r="J21"/>
      <c r="K21"/>
    </row>
    <row r="22" spans="1:11" x14ac:dyDescent="0.2">
      <c r="A22" s="76"/>
      <c r="B22" s="82"/>
      <c r="C22" s="78"/>
      <c r="D22" s="228"/>
      <c r="E22" s="78"/>
      <c r="F22" s="81"/>
      <c r="G22" s="81"/>
      <c r="H22" s="81"/>
      <c r="I22"/>
      <c r="J22"/>
      <c r="K22"/>
    </row>
    <row r="23" spans="1:11" x14ac:dyDescent="0.2">
      <c r="A23" s="76"/>
      <c r="B23" s="82"/>
      <c r="C23" s="78"/>
      <c r="D23" s="228"/>
      <c r="E23" s="78"/>
      <c r="F23" s="81"/>
      <c r="G23" s="81"/>
      <c r="H23" s="81"/>
      <c r="I23"/>
      <c r="J23"/>
      <c r="K23"/>
    </row>
    <row r="24" spans="1:11" x14ac:dyDescent="0.2">
      <c r="A24" s="76"/>
      <c r="B24" s="82"/>
      <c r="C24" s="78"/>
      <c r="D24" s="228"/>
      <c r="E24" s="78"/>
      <c r="F24" s="81"/>
      <c r="G24" s="81"/>
      <c r="H24" s="81"/>
      <c r="I24"/>
      <c r="J24"/>
      <c r="K24"/>
    </row>
    <row r="25" spans="1:11" x14ac:dyDescent="0.2">
      <c r="A25" s="76"/>
      <c r="B25" s="82"/>
      <c r="C25" s="78"/>
      <c r="D25" s="228"/>
      <c r="E25" s="78"/>
      <c r="F25" s="81"/>
      <c r="G25" s="81"/>
      <c r="H25" s="81"/>
      <c r="I25"/>
      <c r="J25"/>
      <c r="K25"/>
    </row>
    <row r="26" spans="1:11" x14ac:dyDescent="0.2">
      <c r="A26" s="76"/>
      <c r="B26" s="82"/>
      <c r="C26" s="78"/>
      <c r="D26" s="228"/>
      <c r="E26" s="78"/>
      <c r="F26" s="81"/>
      <c r="G26" s="81"/>
      <c r="H26" s="81"/>
      <c r="I26"/>
      <c r="J26"/>
      <c r="K26"/>
    </row>
    <row r="27" spans="1:11" x14ac:dyDescent="0.2">
      <c r="A27" s="76"/>
      <c r="B27" s="82"/>
      <c r="C27" s="78"/>
      <c r="D27" s="228"/>
      <c r="E27" s="78"/>
      <c r="F27" s="81"/>
      <c r="G27" s="81"/>
      <c r="H27" s="81"/>
      <c r="I27"/>
      <c r="J27"/>
      <c r="K27"/>
    </row>
    <row r="28" spans="1:11" x14ac:dyDescent="0.2">
      <c r="A28" s="76"/>
      <c r="B28" s="82"/>
      <c r="C28" s="78"/>
      <c r="D28" s="228"/>
      <c r="E28" s="78"/>
      <c r="F28" s="81"/>
      <c r="G28" s="81"/>
      <c r="H28" s="81"/>
      <c r="I28"/>
      <c r="J28"/>
      <c r="K28"/>
    </row>
    <row r="29" spans="1:11" x14ac:dyDescent="0.2">
      <c r="A29" s="82"/>
      <c r="B29" s="82"/>
      <c r="C29" s="83"/>
      <c r="D29" s="228"/>
      <c r="E29" s="78"/>
      <c r="F29" s="81"/>
      <c r="G29" s="81"/>
      <c r="H29" s="81"/>
      <c r="I29"/>
      <c r="J29"/>
      <c r="K29"/>
    </row>
    <row r="30" spans="1:11" x14ac:dyDescent="0.2">
      <c r="A30" s="76"/>
      <c r="B30" s="82"/>
      <c r="C30" s="78"/>
      <c r="D30" s="80"/>
      <c r="E30" s="81"/>
      <c r="F30" s="81"/>
      <c r="G30" s="81"/>
      <c r="H30" s="81"/>
      <c r="I30"/>
      <c r="J30"/>
      <c r="K30"/>
    </row>
    <row r="31" spans="1:11" ht="17" thickBot="1" x14ac:dyDescent="0.25">
      <c r="C31" s="6"/>
      <c r="D31" s="6"/>
      <c r="E31" s="5"/>
      <c r="F31" s="5"/>
      <c r="G31" s="5"/>
      <c r="H31" s="5"/>
      <c r="I31"/>
      <c r="J31"/>
      <c r="K31"/>
    </row>
    <row r="32" spans="1:11" x14ac:dyDescent="0.2">
      <c r="A32" s="416" t="s">
        <v>626</v>
      </c>
      <c r="B32" s="417"/>
      <c r="C32" s="417"/>
      <c r="D32" s="417"/>
      <c r="E32" s="418"/>
      <c r="F32" s="81"/>
      <c r="G32" s="81"/>
      <c r="H32" s="81"/>
      <c r="I32"/>
      <c r="J32"/>
      <c r="K32"/>
    </row>
    <row r="33" spans="1:11" x14ac:dyDescent="0.2">
      <c r="A33" s="213" t="s">
        <v>627</v>
      </c>
      <c r="B33" s="208" t="s">
        <v>614</v>
      </c>
      <c r="C33" s="209"/>
      <c r="D33" s="214" t="s">
        <v>617</v>
      </c>
      <c r="E33" s="215"/>
      <c r="F33" s="81"/>
      <c r="G33" s="81"/>
      <c r="H33" s="81"/>
      <c r="I33"/>
      <c r="J33"/>
      <c r="K33"/>
    </row>
    <row r="34" spans="1:11" x14ac:dyDescent="0.2">
      <c r="A34" s="79" t="s">
        <v>624</v>
      </c>
      <c r="B34" s="14">
        <f>'Glass bot.'!C1</f>
        <v>3095</v>
      </c>
      <c r="C34" s="75">
        <f t="shared" ref="C34:C35" si="5">B34/$C$1</f>
        <v>0.82886984467059455</v>
      </c>
      <c r="D34" s="222">
        <f>'Glass bot.'!E1</f>
        <v>1386.9990000000005</v>
      </c>
      <c r="E34" s="210">
        <f>D34/E1</f>
        <v>0.8836476645118051</v>
      </c>
      <c r="F34" s="81"/>
      <c r="G34" s="81"/>
      <c r="H34" s="81"/>
      <c r="I34"/>
      <c r="J34"/>
      <c r="K34"/>
    </row>
    <row r="35" spans="1:11" ht="17" thickBot="1" x14ac:dyDescent="0.25">
      <c r="A35" s="84" t="s">
        <v>625</v>
      </c>
      <c r="B35" s="31">
        <f>'Glass jars'!C1</f>
        <v>639</v>
      </c>
      <c r="C35" s="85">
        <f t="shared" si="5"/>
        <v>0.17113015532940545</v>
      </c>
      <c r="D35" s="223">
        <f>'Glass jars'!E1</f>
        <v>182.63</v>
      </c>
      <c r="E35" s="212">
        <f>D35/E1</f>
        <v>0.11635233548819496</v>
      </c>
      <c r="F35" s="81"/>
      <c r="G35" s="81"/>
      <c r="H35" s="81"/>
      <c r="I35"/>
      <c r="J35"/>
      <c r="K35"/>
    </row>
    <row r="36" spans="1:11" x14ac:dyDescent="0.2">
      <c r="A36" s="76"/>
      <c r="B36" s="77">
        <f>SUM(B34:B35)-$C$1</f>
        <v>0</v>
      </c>
      <c r="C36" s="78"/>
      <c r="D36" s="226">
        <f>SUM(D34:D35)-E1</f>
        <v>0</v>
      </c>
      <c r="E36" s="81"/>
      <c r="F36" s="81"/>
      <c r="G36" s="81"/>
      <c r="H36" s="81"/>
      <c r="I36"/>
      <c r="J36"/>
      <c r="K36"/>
    </row>
    <row r="37" spans="1:11" x14ac:dyDescent="0.2">
      <c r="A37" s="76"/>
      <c r="B37" s="82"/>
      <c r="C37" s="78"/>
      <c r="D37" s="80"/>
      <c r="E37" s="81"/>
      <c r="F37" s="81"/>
      <c r="G37" s="81"/>
      <c r="H37" s="81"/>
      <c r="I37"/>
      <c r="J37"/>
      <c r="K37"/>
    </row>
    <row r="38" spans="1:11" x14ac:dyDescent="0.2">
      <c r="A38" s="76"/>
      <c r="B38" s="82"/>
      <c r="C38" s="78"/>
      <c r="D38" s="80"/>
      <c r="E38" s="81"/>
      <c r="F38" s="81"/>
      <c r="G38" s="81"/>
      <c r="H38" s="81"/>
      <c r="I38"/>
      <c r="J38"/>
      <c r="K38"/>
    </row>
    <row r="39" spans="1:11" x14ac:dyDescent="0.2">
      <c r="A39" s="76"/>
      <c r="B39" s="82"/>
      <c r="C39" s="78"/>
      <c r="D39" s="80"/>
      <c r="E39" s="81"/>
      <c r="F39" s="81"/>
      <c r="G39" s="81"/>
      <c r="H39" s="81"/>
      <c r="I39"/>
      <c r="J39"/>
      <c r="K39"/>
    </row>
    <row r="40" spans="1:11" x14ac:dyDescent="0.2">
      <c r="A40" s="76"/>
      <c r="B40" s="82"/>
      <c r="C40" s="78"/>
      <c r="D40" s="80"/>
      <c r="E40" s="81"/>
      <c r="F40" s="81"/>
      <c r="G40" s="81"/>
      <c r="H40" s="81"/>
      <c r="I40"/>
      <c r="J40"/>
      <c r="K40"/>
    </row>
    <row r="41" spans="1:11" x14ac:dyDescent="0.2">
      <c r="A41" s="76"/>
      <c r="B41" s="82"/>
      <c r="C41" s="78"/>
      <c r="D41" s="80"/>
      <c r="E41" s="81"/>
      <c r="F41" s="81"/>
      <c r="G41" s="81"/>
      <c r="H41" s="81"/>
      <c r="I41"/>
      <c r="J41"/>
      <c r="K41"/>
    </row>
    <row r="42" spans="1:11" x14ac:dyDescent="0.2">
      <c r="A42" s="76"/>
      <c r="B42" s="82"/>
      <c r="C42" s="78"/>
      <c r="D42" s="80"/>
      <c r="E42" s="81"/>
      <c r="F42" s="81"/>
      <c r="G42" s="81"/>
      <c r="H42" s="81"/>
      <c r="I42"/>
      <c r="J42"/>
      <c r="K42"/>
    </row>
    <row r="43" spans="1:11" x14ac:dyDescent="0.2">
      <c r="A43" s="76"/>
      <c r="B43" s="82"/>
      <c r="C43" s="78"/>
      <c r="D43" s="80"/>
      <c r="E43" s="81"/>
      <c r="F43" s="81"/>
      <c r="G43" s="81"/>
      <c r="H43" s="81"/>
      <c r="I43"/>
      <c r="J43"/>
      <c r="K43"/>
    </row>
    <row r="44" spans="1:11" x14ac:dyDescent="0.2">
      <c r="A44" s="76"/>
      <c r="B44" s="82"/>
      <c r="C44" s="78"/>
      <c r="D44" s="80"/>
      <c r="E44" s="81"/>
      <c r="F44" s="81"/>
      <c r="G44" s="81"/>
      <c r="H44" s="81"/>
      <c r="I44"/>
      <c r="J44"/>
      <c r="K44"/>
    </row>
    <row r="45" spans="1:11" x14ac:dyDescent="0.2">
      <c r="A45" s="76"/>
      <c r="B45" s="82"/>
      <c r="C45" s="78"/>
      <c r="D45" s="80"/>
      <c r="E45" s="81"/>
      <c r="F45" s="81"/>
      <c r="G45" s="81"/>
      <c r="H45" s="81"/>
      <c r="I45"/>
      <c r="J45"/>
      <c r="K45"/>
    </row>
    <row r="46" spans="1:11" x14ac:dyDescent="0.2">
      <c r="A46" s="76"/>
      <c r="B46" s="82"/>
      <c r="C46" s="78"/>
      <c r="D46" s="80"/>
      <c r="E46" s="81"/>
      <c r="F46" s="81"/>
      <c r="G46" s="81"/>
      <c r="H46" s="81"/>
      <c r="I46"/>
      <c r="J46"/>
      <c r="K46"/>
    </row>
    <row r="47" spans="1:11" x14ac:dyDescent="0.2">
      <c r="A47" s="216"/>
      <c r="C47" s="82"/>
      <c r="D47" s="80"/>
      <c r="E47" s="81"/>
      <c r="F47" s="81"/>
      <c r="G47" s="81"/>
      <c r="H47" s="81"/>
      <c r="I47"/>
      <c r="J47"/>
      <c r="K47"/>
    </row>
    <row r="48" spans="1:11" x14ac:dyDescent="0.2">
      <c r="A48" s="216"/>
      <c r="B48" s="76"/>
      <c r="C48" s="82"/>
      <c r="D48" s="80"/>
      <c r="E48" s="81"/>
      <c r="F48" s="81"/>
      <c r="G48" s="81"/>
      <c r="H48" s="81"/>
      <c r="I48"/>
      <c r="J48"/>
      <c r="K48"/>
    </row>
    <row r="49" spans="1:11" x14ac:dyDescent="0.2">
      <c r="A49" s="216"/>
      <c r="B49" s="76"/>
      <c r="C49" s="82"/>
      <c r="D49" s="80"/>
      <c r="E49" s="81"/>
      <c r="F49" s="81"/>
      <c r="G49" s="81"/>
      <c r="H49" s="81"/>
      <c r="I49"/>
      <c r="J49"/>
      <c r="K49"/>
    </row>
    <row r="50" spans="1:11" ht="17" thickBot="1" x14ac:dyDescent="0.25">
      <c r="A50" s="216"/>
      <c r="B50" s="76"/>
      <c r="C50" s="82"/>
      <c r="D50" s="80"/>
      <c r="E50" s="81"/>
      <c r="F50" s="81"/>
      <c r="G50" s="81"/>
      <c r="H50" s="81"/>
      <c r="I50"/>
      <c r="J50"/>
      <c r="K50"/>
    </row>
    <row r="51" spans="1:11" x14ac:dyDescent="0.2">
      <c r="A51" s="423" t="s">
        <v>686</v>
      </c>
      <c r="B51" s="414"/>
      <c r="C51" s="414"/>
      <c r="D51" s="414"/>
      <c r="E51" s="415"/>
      <c r="F51" s="81"/>
      <c r="G51" s="81"/>
      <c r="H51" s="81"/>
      <c r="I51"/>
      <c r="J51"/>
      <c r="K51"/>
    </row>
    <row r="52" spans="1:11" x14ac:dyDescent="0.2">
      <c r="A52" s="213" t="s">
        <v>1</v>
      </c>
      <c r="B52" s="208" t="s">
        <v>614</v>
      </c>
      <c r="C52" s="209"/>
      <c r="D52" s="214" t="s">
        <v>617</v>
      </c>
      <c r="E52" s="215"/>
      <c r="F52" s="81"/>
      <c r="G52" s="81"/>
      <c r="H52" s="81"/>
      <c r="I52"/>
      <c r="J52"/>
      <c r="K52"/>
    </row>
    <row r="53" spans="1:11" x14ac:dyDescent="0.2">
      <c r="A53" s="79" t="str">
        <f>'Glass bot.'!A110</f>
        <v>Vodka</v>
      </c>
      <c r="B53" s="14">
        <f>'Glass bot.'!B110</f>
        <v>2145</v>
      </c>
      <c r="C53" s="75">
        <f>B53/$C$1</f>
        <v>0.57445099089448315</v>
      </c>
      <c r="D53" s="14">
        <f>'Glass bot.'!D110</f>
        <v>1109.3800000000006</v>
      </c>
      <c r="E53" s="210">
        <f>D53/$E$1</f>
        <v>0.70677848077475658</v>
      </c>
      <c r="F53" s="81"/>
      <c r="G53" s="81"/>
      <c r="H53" s="81"/>
      <c r="I53"/>
      <c r="J53"/>
      <c r="K53"/>
    </row>
    <row r="54" spans="1:11" x14ac:dyDescent="0.2">
      <c r="A54" s="79" t="str">
        <f>'Glass bot.'!A118</f>
        <v>Other food</v>
      </c>
      <c r="B54" s="14">
        <f>'Glass bot.'!B118+'Glass jars'!B77</f>
        <v>637</v>
      </c>
      <c r="C54" s="75">
        <f>B54/$C$1</f>
        <v>0.17059453668987681</v>
      </c>
      <c r="D54" s="14">
        <f>'Glass bot.'!D118+'Glass jars'!D77</f>
        <v>182.07000000000002</v>
      </c>
      <c r="E54" s="210">
        <f>D54/$E$1</f>
        <v>0.11599556328278847</v>
      </c>
      <c r="F54" s="81"/>
      <c r="G54" s="81"/>
      <c r="H54" s="81"/>
      <c r="I54"/>
      <c r="J54"/>
      <c r="K54"/>
    </row>
    <row r="55" spans="1:11" x14ac:dyDescent="0.2">
      <c r="A55" s="79" t="str">
        <f>'Glass bot.'!A112</f>
        <v>Soda</v>
      </c>
      <c r="B55" s="14">
        <f>'Glass bot.'!B112</f>
        <v>351</v>
      </c>
      <c r="C55" s="75">
        <f>B55/$C$1</f>
        <v>9.4001071237279063E-2</v>
      </c>
      <c r="D55" s="14">
        <f>'Glass bot.'!D112</f>
        <v>47.959000000000003</v>
      </c>
      <c r="E55" s="210">
        <f>D55/$E$1</f>
        <v>3.0554353926947064E-2</v>
      </c>
      <c r="F55" s="81"/>
      <c r="G55" s="81"/>
      <c r="H55" s="81"/>
      <c r="I55"/>
      <c r="J55"/>
      <c r="K55"/>
    </row>
    <row r="56" spans="1:11" x14ac:dyDescent="0.2">
      <c r="A56" s="79" t="str">
        <f>'Glass bot.'!A111</f>
        <v>Beer</v>
      </c>
      <c r="B56" s="14">
        <f>'Glass bot.'!B111</f>
        <v>276</v>
      </c>
      <c r="C56" s="75">
        <f t="shared" ref="C56:C65" si="6">B56/$C$1</f>
        <v>7.3915372254954467E-2</v>
      </c>
      <c r="D56" s="14">
        <f>'Glass bot.'!D111</f>
        <v>100.45000000000002</v>
      </c>
      <c r="E56" s="210">
        <f t="shared" ref="E56:E65" si="7">D56/$E$1</f>
        <v>6.3996014344791033E-2</v>
      </c>
      <c r="F56" s="81"/>
      <c r="G56" s="81"/>
      <c r="H56" s="81"/>
      <c r="I56"/>
      <c r="J56"/>
      <c r="K56"/>
    </row>
    <row r="57" spans="1:11" x14ac:dyDescent="0.2">
      <c r="A57" s="79" t="str">
        <f>'Glass bot.'!A113</f>
        <v>Wine</v>
      </c>
      <c r="B57" s="14">
        <f>'Glass bot.'!B113</f>
        <v>138</v>
      </c>
      <c r="C57" s="75">
        <f t="shared" si="6"/>
        <v>3.6957686127477234E-2</v>
      </c>
      <c r="D57" s="14">
        <f>'Glass bot.'!D113</f>
        <v>67.62</v>
      </c>
      <c r="E57" s="210">
        <f t="shared" si="7"/>
        <v>4.3080243802834928E-2</v>
      </c>
      <c r="F57" s="81"/>
      <c r="G57" s="81"/>
      <c r="H57" s="81"/>
      <c r="I57"/>
      <c r="J57"/>
      <c r="K57"/>
    </row>
    <row r="58" spans="1:11" x14ac:dyDescent="0.2">
      <c r="A58" s="79" t="str">
        <f>'Glass bot.'!A114</f>
        <v>Other liquor</v>
      </c>
      <c r="B58" s="14">
        <f>'Glass bot.'!B114</f>
        <v>60</v>
      </c>
      <c r="C58" s="75">
        <f t="shared" si="6"/>
        <v>1.6068559185859668E-2</v>
      </c>
      <c r="D58" s="14">
        <f>'Glass bot.'!D114</f>
        <v>30</v>
      </c>
      <c r="E58" s="210">
        <f t="shared" si="7"/>
        <v>1.9112796718205382E-2</v>
      </c>
      <c r="F58" s="81"/>
      <c r="G58" s="81"/>
      <c r="H58" s="81"/>
      <c r="I58"/>
      <c r="J58"/>
      <c r="K58"/>
    </row>
    <row r="59" spans="1:11" x14ac:dyDescent="0.2">
      <c r="A59" s="79" t="str">
        <f>'Glass bot.'!A115</f>
        <v>Juice</v>
      </c>
      <c r="B59" s="14">
        <f>'Glass bot.'!B115</f>
        <v>38</v>
      </c>
      <c r="C59" s="75">
        <f t="shared" si="6"/>
        <v>1.0176754151044456E-2</v>
      </c>
      <c r="D59" s="14">
        <f>'Glass bot.'!D115</f>
        <v>10.64</v>
      </c>
      <c r="E59" s="210">
        <f t="shared" si="7"/>
        <v>6.7786719027235088E-3</v>
      </c>
      <c r="F59" s="81"/>
      <c r="G59" s="81"/>
      <c r="H59" s="81"/>
      <c r="I59"/>
      <c r="J59"/>
      <c r="K59"/>
    </row>
    <row r="60" spans="1:11" x14ac:dyDescent="0.2">
      <c r="A60" s="79" t="str">
        <f>'Glass bot.'!A116</f>
        <v>Vegetal oil</v>
      </c>
      <c r="B60" s="14">
        <f>'Glass bot.'!B116</f>
        <v>27</v>
      </c>
      <c r="C60" s="75">
        <f t="shared" si="6"/>
        <v>7.2308516336368504E-3</v>
      </c>
      <c r="D60" s="14">
        <f>'Glass bot.'!D116</f>
        <v>8.4499999999999993</v>
      </c>
      <c r="E60" s="210">
        <f t="shared" si="7"/>
        <v>5.3834377422945154E-3</v>
      </c>
      <c r="F60" s="81"/>
      <c r="G60" s="81"/>
      <c r="H60" s="81"/>
      <c r="I60"/>
      <c r="J60"/>
      <c r="K60"/>
    </row>
    <row r="61" spans="1:11" x14ac:dyDescent="0.2">
      <c r="A61" s="79" t="str">
        <f>'Glass bot.'!A117</f>
        <v>Health and body care</v>
      </c>
      <c r="B61" s="14">
        <f>'Glass bot.'!B117</f>
        <v>32</v>
      </c>
      <c r="C61" s="75">
        <f t="shared" si="6"/>
        <v>8.5698982324584894E-3</v>
      </c>
      <c r="D61" s="14">
        <f>'Glass bot.'!D117</f>
        <v>4.3</v>
      </c>
      <c r="E61" s="210">
        <f t="shared" si="7"/>
        <v>2.7395008629427712E-3</v>
      </c>
      <c r="F61" s="81"/>
      <c r="G61" s="81"/>
      <c r="H61" s="81"/>
      <c r="I61"/>
      <c r="J61"/>
      <c r="K61"/>
    </row>
    <row r="62" spans="1:11" x14ac:dyDescent="0.2">
      <c r="A62" s="79" t="str">
        <f>'Glass jars'!A78</f>
        <v>Coffee and tea</v>
      </c>
      <c r="B62" s="14">
        <f>'Glass jars'!B78</f>
        <v>16</v>
      </c>
      <c r="C62" s="75">
        <f>B62/$C$1</f>
        <v>4.2849491162292447E-3</v>
      </c>
      <c r="D62" s="14">
        <f>'Glass jars'!D78</f>
        <v>3.36</v>
      </c>
      <c r="E62" s="210">
        <f>D62/$E$1</f>
        <v>2.1406332324390024E-3</v>
      </c>
      <c r="F62" s="81"/>
      <c r="G62" s="81"/>
      <c r="H62" s="81"/>
      <c r="I62"/>
      <c r="J62"/>
      <c r="K62"/>
    </row>
    <row r="63" spans="1:11" x14ac:dyDescent="0.2">
      <c r="A63" s="79" t="str">
        <f>'Glass bot.'!A119</f>
        <v>Dairy</v>
      </c>
      <c r="B63" s="14">
        <f>'Glass bot.'!B119</f>
        <v>5</v>
      </c>
      <c r="C63" s="75">
        <f t="shared" si="6"/>
        <v>1.339046598821639E-3</v>
      </c>
      <c r="D63" s="14">
        <f>'Glass bot.'!D119</f>
        <v>1.1499999999999999</v>
      </c>
      <c r="E63" s="210">
        <f t="shared" si="7"/>
        <v>7.3265720753120614E-4</v>
      </c>
      <c r="F63" s="81"/>
      <c r="G63" s="81"/>
      <c r="H63" s="81"/>
      <c r="I63"/>
      <c r="J63"/>
      <c r="K63"/>
    </row>
    <row r="64" spans="1:11" x14ac:dyDescent="0.2">
      <c r="A64" s="79" t="str">
        <f>'Glass bot.'!A120</f>
        <v>Other goods</v>
      </c>
      <c r="B64" s="14">
        <f>'Glass bot.'!B120</f>
        <v>4</v>
      </c>
      <c r="C64" s="75">
        <f t="shared" si="6"/>
        <v>1.0712372790573112E-3</v>
      </c>
      <c r="D64" s="14">
        <f>'Glass bot.'!D120</f>
        <v>1.4</v>
      </c>
      <c r="E64" s="210">
        <f t="shared" si="7"/>
        <v>8.9193051351625099E-4</v>
      </c>
      <c r="F64" s="81"/>
      <c r="G64" s="81"/>
      <c r="H64" s="81"/>
      <c r="I64"/>
      <c r="J64"/>
      <c r="K64"/>
    </row>
    <row r="65" spans="1:11" x14ac:dyDescent="0.2">
      <c r="A65" s="79" t="str">
        <f>'Glass bot.'!A121</f>
        <v>Water</v>
      </c>
      <c r="B65" s="14">
        <f>'Glass bot.'!B121</f>
        <v>5</v>
      </c>
      <c r="C65" s="75">
        <f t="shared" si="6"/>
        <v>1.339046598821639E-3</v>
      </c>
      <c r="D65" s="14">
        <f>'Glass bot.'!D121</f>
        <v>2.85</v>
      </c>
      <c r="E65" s="210">
        <f t="shared" si="7"/>
        <v>1.8157156882295112E-3</v>
      </c>
      <c r="F65" s="81"/>
      <c r="G65" s="81"/>
      <c r="H65" s="81"/>
      <c r="I65"/>
      <c r="J65"/>
      <c r="K65"/>
    </row>
    <row r="66" spans="1:11" x14ac:dyDescent="0.2">
      <c r="A66" s="76"/>
      <c r="B66" s="77">
        <f>SUM(B53:B65)-C1</f>
        <v>0</v>
      </c>
      <c r="C66" s="78"/>
      <c r="D66" s="226">
        <f>SUM(D53:D65)-E1</f>
        <v>0</v>
      </c>
      <c r="E66" s="78"/>
      <c r="F66" s="81"/>
      <c r="G66" s="81"/>
      <c r="H66" s="81"/>
      <c r="I66"/>
      <c r="J66"/>
      <c r="K66"/>
    </row>
    <row r="67" spans="1:11" x14ac:dyDescent="0.2">
      <c r="A67" s="76"/>
      <c r="B67" s="82"/>
      <c r="C67" s="78"/>
      <c r="D67" s="228"/>
      <c r="E67" s="78"/>
      <c r="F67" s="81"/>
      <c r="G67" s="81"/>
      <c r="H67" s="81"/>
      <c r="I67"/>
      <c r="J67"/>
      <c r="K67"/>
    </row>
    <row r="68" spans="1:11" x14ac:dyDescent="0.2">
      <c r="A68" s="76"/>
      <c r="B68" s="82"/>
      <c r="C68" s="78"/>
      <c r="D68" s="228"/>
      <c r="E68" s="78"/>
      <c r="F68" s="81"/>
      <c r="G68" s="81"/>
      <c r="H68" s="81"/>
      <c r="I68"/>
      <c r="J68"/>
      <c r="K68"/>
    </row>
    <row r="69" spans="1:11" x14ac:dyDescent="0.2">
      <c r="A69" s="76"/>
      <c r="B69" s="82"/>
      <c r="C69" s="78"/>
      <c r="D69" s="228"/>
      <c r="E69" s="78"/>
      <c r="F69" s="81"/>
      <c r="G69" s="81"/>
      <c r="H69" s="81"/>
      <c r="I69"/>
      <c r="J69"/>
      <c r="K69"/>
    </row>
    <row r="70" spans="1:11" x14ac:dyDescent="0.2">
      <c r="A70" s="82"/>
      <c r="B70" s="82"/>
      <c r="C70" s="83"/>
      <c r="D70" s="228"/>
      <c r="E70" s="78"/>
      <c r="F70" s="81"/>
      <c r="G70" s="81"/>
      <c r="H70" s="81"/>
      <c r="I70"/>
      <c r="J70"/>
      <c r="K70"/>
    </row>
    <row r="71" spans="1:11" x14ac:dyDescent="0.2">
      <c r="A71" s="82"/>
      <c r="B71" s="82"/>
      <c r="C71" s="83"/>
      <c r="D71" s="228"/>
      <c r="E71" s="78"/>
      <c r="F71" s="81"/>
      <c r="G71" s="81"/>
      <c r="H71" s="81"/>
      <c r="I71"/>
      <c r="J71"/>
      <c r="K71"/>
    </row>
    <row r="72" spans="1:11" ht="17" thickBot="1" x14ac:dyDescent="0.25">
      <c r="C72" s="6"/>
      <c r="D72" s="6"/>
      <c r="E72" s="5"/>
      <c r="F72" s="5"/>
      <c r="G72" s="5"/>
      <c r="H72" s="5"/>
      <c r="I72"/>
      <c r="J72"/>
      <c r="K72"/>
    </row>
    <row r="73" spans="1:11" x14ac:dyDescent="0.2">
      <c r="A73" s="413" t="s">
        <v>128</v>
      </c>
      <c r="B73" s="414"/>
      <c r="C73" s="414"/>
      <c r="D73" s="414"/>
      <c r="E73" s="415"/>
      <c r="F73" s="5"/>
      <c r="G73" s="5"/>
      <c r="H73" s="5"/>
      <c r="I73"/>
      <c r="J73"/>
      <c r="K73"/>
    </row>
    <row r="74" spans="1:11" x14ac:dyDescent="0.2">
      <c r="A74" s="213" t="s">
        <v>618</v>
      </c>
      <c r="B74" s="208" t="s">
        <v>614</v>
      </c>
      <c r="C74" s="209"/>
      <c r="D74" s="214" t="s">
        <v>617</v>
      </c>
      <c r="E74" s="215"/>
      <c r="F74" s="81"/>
      <c r="G74" s="81"/>
      <c r="H74" s="81"/>
      <c r="I74"/>
      <c r="J74"/>
      <c r="K74"/>
    </row>
    <row r="75" spans="1:11" x14ac:dyDescent="0.2">
      <c r="A75" s="79" t="s">
        <v>6</v>
      </c>
      <c r="B75" s="14">
        <f>'Glass bot.'!B129+'Glass jars'!B96</f>
        <v>2621</v>
      </c>
      <c r="C75" s="75">
        <f>B75/$C$1</f>
        <v>0.70192822710230318</v>
      </c>
      <c r="D75" s="222">
        <f>'Glass bot.'!D129+'Glass jars'!D96</f>
        <v>1262.9000000000008</v>
      </c>
      <c r="E75" s="210">
        <f>D75/E1</f>
        <v>0.804585032514053</v>
      </c>
      <c r="F75" s="81"/>
      <c r="G75" s="81"/>
      <c r="H75" s="81"/>
      <c r="I75"/>
      <c r="J75"/>
      <c r="K75"/>
    </row>
    <row r="76" spans="1:11" ht="17" thickBot="1" x14ac:dyDescent="0.25">
      <c r="A76" s="84" t="s">
        <v>7</v>
      </c>
      <c r="B76" s="31">
        <f>'Glass bot.'!B130+'Glass jars'!B97</f>
        <v>1113</v>
      </c>
      <c r="C76" s="85">
        <f>B76/$C$1</f>
        <v>0.29807177289769682</v>
      </c>
      <c r="D76" s="223">
        <f>'Glass bot.'!D130+'Glass jars'!D97</f>
        <v>306.72900000000004</v>
      </c>
      <c r="E76" s="212">
        <f>D76/E1</f>
        <v>0.19541496748594731</v>
      </c>
      <c r="F76" s="81"/>
      <c r="G76" s="81"/>
      <c r="H76" s="81"/>
      <c r="I76"/>
      <c r="J76"/>
      <c r="K76"/>
    </row>
    <row r="77" spans="1:11" x14ac:dyDescent="0.2">
      <c r="A77" s="76"/>
      <c r="B77" s="77">
        <f>B75+B76-$C$1</f>
        <v>0</v>
      </c>
      <c r="C77" s="82"/>
      <c r="D77" s="226">
        <f>SUM(D75:D76)-E1</f>
        <v>0</v>
      </c>
      <c r="E77" s="81"/>
      <c r="F77" s="81"/>
      <c r="G77" s="81"/>
      <c r="H77" s="81"/>
      <c r="I77"/>
      <c r="J77"/>
      <c r="K77"/>
    </row>
    <row r="78" spans="1:11" x14ac:dyDescent="0.2">
      <c r="A78" s="82"/>
      <c r="B78" s="82"/>
      <c r="C78" s="80"/>
      <c r="D78" s="80"/>
      <c r="E78" s="81"/>
      <c r="F78" s="81"/>
      <c r="G78" s="81"/>
      <c r="H78" s="81"/>
      <c r="I78"/>
      <c r="J78"/>
      <c r="K78"/>
    </row>
    <row r="79" spans="1:11" x14ac:dyDescent="0.2">
      <c r="A79" s="82"/>
      <c r="B79" s="82"/>
      <c r="C79" s="80"/>
      <c r="D79" s="80"/>
      <c r="E79" s="81"/>
      <c r="F79" s="81"/>
      <c r="G79" s="81"/>
      <c r="H79" s="81"/>
      <c r="I79"/>
      <c r="J79"/>
      <c r="K79"/>
    </row>
    <row r="80" spans="1:11" x14ac:dyDescent="0.2">
      <c r="A80" s="82"/>
      <c r="B80" s="82"/>
      <c r="C80" s="80"/>
      <c r="D80" s="80"/>
      <c r="E80" s="81"/>
      <c r="F80" s="81"/>
      <c r="G80" s="81"/>
      <c r="H80" s="81"/>
      <c r="I80"/>
      <c r="J80"/>
      <c r="K80"/>
    </row>
    <row r="81" spans="1:11" x14ac:dyDescent="0.2">
      <c r="A81" s="82"/>
      <c r="B81" s="82"/>
      <c r="C81" s="80"/>
      <c r="D81" s="80"/>
      <c r="E81" s="81"/>
      <c r="F81" s="81"/>
      <c r="G81" s="81"/>
      <c r="H81" s="81"/>
      <c r="I81"/>
      <c r="J81"/>
      <c r="K81"/>
    </row>
    <row r="82" spans="1:11" x14ac:dyDescent="0.2">
      <c r="A82" s="82"/>
      <c r="B82" s="82"/>
      <c r="C82" s="80"/>
      <c r="D82" s="80"/>
      <c r="E82" s="81"/>
      <c r="F82" s="81"/>
      <c r="G82" s="81"/>
      <c r="H82" s="81"/>
      <c r="I82"/>
      <c r="J82"/>
      <c r="K82"/>
    </row>
    <row r="83" spans="1:11" x14ac:dyDescent="0.2">
      <c r="A83" s="82"/>
      <c r="B83" s="82"/>
      <c r="C83" s="80"/>
      <c r="D83" s="80"/>
      <c r="E83" s="81"/>
      <c r="F83" s="81"/>
      <c r="G83" s="81"/>
      <c r="H83" s="81"/>
      <c r="I83"/>
      <c r="J83"/>
      <c r="K83"/>
    </row>
    <row r="84" spans="1:11" x14ac:dyDescent="0.2">
      <c r="A84" s="82"/>
      <c r="B84" s="82"/>
      <c r="C84" s="80"/>
      <c r="D84" s="80"/>
      <c r="E84" s="81"/>
      <c r="F84" s="81"/>
      <c r="G84" s="81"/>
      <c r="H84" s="81"/>
      <c r="I84"/>
      <c r="J84"/>
      <c r="K84"/>
    </row>
    <row r="85" spans="1:11" x14ac:dyDescent="0.2">
      <c r="A85" s="82"/>
      <c r="B85" s="82"/>
      <c r="C85" s="80"/>
      <c r="D85" s="80"/>
      <c r="E85" s="81"/>
      <c r="F85" s="81"/>
      <c r="G85" s="81"/>
      <c r="H85" s="81"/>
      <c r="I85"/>
      <c r="J85"/>
      <c r="K85"/>
    </row>
    <row r="86" spans="1:11" x14ac:dyDescent="0.2">
      <c r="A86" s="82"/>
      <c r="B86" s="82"/>
      <c r="C86" s="80"/>
      <c r="D86" s="80"/>
      <c r="E86" s="81"/>
      <c r="F86" s="81"/>
      <c r="G86" s="81"/>
      <c r="H86" s="81"/>
      <c r="I86"/>
      <c r="J86"/>
      <c r="K86"/>
    </row>
    <row r="87" spans="1:11" x14ac:dyDescent="0.2">
      <c r="A87" s="82"/>
      <c r="B87" s="82"/>
      <c r="C87" s="80"/>
      <c r="D87" s="80"/>
      <c r="E87" s="81"/>
      <c r="F87" s="81"/>
      <c r="G87" s="81"/>
      <c r="H87" s="81"/>
      <c r="I87"/>
      <c r="J87"/>
      <c r="K87"/>
    </row>
    <row r="88" spans="1:11" x14ac:dyDescent="0.2">
      <c r="A88" s="82"/>
      <c r="B88" s="82"/>
      <c r="C88" s="80"/>
      <c r="D88" s="80"/>
      <c r="E88" s="81"/>
      <c r="F88" s="81"/>
      <c r="G88" s="81"/>
      <c r="H88" s="81"/>
      <c r="I88"/>
      <c r="J88"/>
      <c r="K88"/>
    </row>
    <row r="89" spans="1:11" x14ac:dyDescent="0.2">
      <c r="C89" s="6"/>
      <c r="D89" s="6"/>
      <c r="E89" s="5"/>
      <c r="F89" s="5"/>
      <c r="G89" s="5"/>
      <c r="H89" s="5"/>
      <c r="I89"/>
      <c r="J89"/>
      <c r="K89"/>
    </row>
    <row r="90" spans="1:11" x14ac:dyDescent="0.2">
      <c r="C90" s="6"/>
      <c r="D90" s="6"/>
      <c r="E90" s="5"/>
      <c r="F90" s="5"/>
      <c r="G90" s="5"/>
      <c r="H90" s="5"/>
      <c r="I90"/>
      <c r="J90"/>
      <c r="K90"/>
    </row>
    <row r="91" spans="1:11" ht="17" thickBot="1" x14ac:dyDescent="0.25">
      <c r="C91" s="6"/>
      <c r="D91" s="6"/>
      <c r="E91" s="5"/>
      <c r="F91" s="5"/>
      <c r="G91" s="5"/>
      <c r="H91" s="5"/>
      <c r="I91"/>
      <c r="J91"/>
      <c r="K91"/>
    </row>
    <row r="92" spans="1:11" x14ac:dyDescent="0.2">
      <c r="A92" s="413" t="s">
        <v>619</v>
      </c>
      <c r="B92" s="414"/>
      <c r="C92" s="414"/>
      <c r="D92" s="414"/>
      <c r="E92" s="415"/>
      <c r="F92" s="81"/>
      <c r="G92" s="81"/>
      <c r="H92" s="81"/>
      <c r="I92"/>
      <c r="J92"/>
      <c r="K92"/>
    </row>
    <row r="93" spans="1:11" x14ac:dyDescent="0.2">
      <c r="A93" s="213" t="s">
        <v>622</v>
      </c>
      <c r="B93" s="208" t="s">
        <v>614</v>
      </c>
      <c r="C93" s="209"/>
      <c r="D93" s="214" t="s">
        <v>617</v>
      </c>
      <c r="E93" s="215"/>
      <c r="F93" s="81"/>
      <c r="G93" s="81"/>
      <c r="H93" s="81"/>
      <c r="I93"/>
      <c r="J93"/>
      <c r="K93"/>
    </row>
    <row r="94" spans="1:11" x14ac:dyDescent="0.2">
      <c r="A94" s="79" t="str">
        <f>'Glass bot.'!A147</f>
        <v xml:space="preserve">Reusing </v>
      </c>
      <c r="B94" s="14">
        <f>'Glass bot.'!B147+'Glass jars'!B96</f>
        <v>2306</v>
      </c>
      <c r="C94" s="75">
        <f>B94/$C$1</f>
        <v>0.6175682913765399</v>
      </c>
      <c r="D94" s="222">
        <f>'Glass bot.'!D147+'Glass jars'!D114</f>
        <v>1117.9400000000003</v>
      </c>
      <c r="E94" s="210">
        <f>D94/E1</f>
        <v>0.7122319987716843</v>
      </c>
      <c r="F94" s="81"/>
      <c r="G94" s="81"/>
      <c r="H94" s="81"/>
      <c r="I94"/>
      <c r="J94"/>
      <c r="K94"/>
    </row>
    <row r="95" spans="1:11" ht="17" thickBot="1" x14ac:dyDescent="0.25">
      <c r="A95" s="84" t="str">
        <f>'Glass bot.'!A148</f>
        <v>Downcycling</v>
      </c>
      <c r="B95" s="31">
        <f>'Glass bot.'!B148+'Glass jars'!B97</f>
        <v>1428</v>
      </c>
      <c r="C95" s="85">
        <f>B95/$C$1</f>
        <v>0.3824317086234601</v>
      </c>
      <c r="D95" s="223">
        <f>'Glass bot.'!D148+'Glass jars'!D115</f>
        <v>451.68899999999996</v>
      </c>
      <c r="E95" s="212">
        <f>D95/E1</f>
        <v>0.28776800122831564</v>
      </c>
      <c r="F95" s="81"/>
      <c r="G95" s="81"/>
      <c r="H95" s="81"/>
      <c r="I95"/>
      <c r="J95"/>
      <c r="K95"/>
    </row>
    <row r="96" spans="1:11" x14ac:dyDescent="0.2">
      <c r="A96" s="82"/>
      <c r="B96" s="77">
        <f>B94+B95-$C$1</f>
        <v>0</v>
      </c>
      <c r="C96" s="82"/>
      <c r="D96" s="226">
        <f>SUM(D94:D95)-E1</f>
        <v>0</v>
      </c>
      <c r="E96" s="81"/>
      <c r="F96" s="81"/>
      <c r="G96" s="81"/>
      <c r="H96" s="81"/>
      <c r="I96"/>
      <c r="J96"/>
      <c r="K96"/>
    </row>
    <row r="97" spans="1:11" x14ac:dyDescent="0.2">
      <c r="A97" s="82"/>
      <c r="B97" s="82"/>
      <c r="C97" s="80"/>
      <c r="D97" s="80"/>
      <c r="E97" s="81"/>
      <c r="F97" s="81"/>
      <c r="G97" s="81"/>
      <c r="H97" s="81"/>
      <c r="I97"/>
      <c r="J97"/>
      <c r="K97"/>
    </row>
    <row r="98" spans="1:11" x14ac:dyDescent="0.2">
      <c r="A98" s="82"/>
      <c r="B98" s="82"/>
      <c r="C98" s="80"/>
      <c r="D98" s="80"/>
      <c r="E98" s="81"/>
      <c r="F98" s="81"/>
      <c r="G98" s="81"/>
      <c r="H98" s="81"/>
      <c r="I98"/>
      <c r="J98"/>
      <c r="K98"/>
    </row>
    <row r="99" spans="1:11" x14ac:dyDescent="0.2">
      <c r="A99" s="82"/>
      <c r="B99" s="82"/>
      <c r="C99" s="80"/>
      <c r="D99" s="80"/>
      <c r="E99" s="81"/>
      <c r="F99" s="81"/>
      <c r="G99" s="81"/>
      <c r="H99" s="81"/>
      <c r="I99"/>
      <c r="J99"/>
      <c r="K99"/>
    </row>
    <row r="100" spans="1:11" x14ac:dyDescent="0.2">
      <c r="A100" s="82"/>
      <c r="B100" s="82"/>
      <c r="C100" s="80"/>
      <c r="D100" s="80"/>
      <c r="E100" s="81"/>
      <c r="F100" s="81"/>
      <c r="G100" s="81"/>
      <c r="H100" s="81"/>
      <c r="I100"/>
      <c r="J100"/>
      <c r="K100"/>
    </row>
    <row r="101" spans="1:11" x14ac:dyDescent="0.2">
      <c r="A101" s="82"/>
      <c r="B101" s="82"/>
      <c r="C101" s="80"/>
      <c r="D101" s="80"/>
      <c r="E101" s="81"/>
      <c r="F101" s="81"/>
      <c r="G101" s="81"/>
      <c r="H101" s="81"/>
      <c r="I101"/>
      <c r="J101"/>
      <c r="K101"/>
    </row>
    <row r="102" spans="1:11" x14ac:dyDescent="0.2">
      <c r="A102" s="82"/>
      <c r="B102" s="82"/>
      <c r="C102" s="80"/>
      <c r="D102" s="80"/>
      <c r="E102" s="81"/>
      <c r="F102" s="81"/>
      <c r="G102" s="81"/>
      <c r="H102" s="81"/>
      <c r="I102"/>
      <c r="J102"/>
      <c r="K102"/>
    </row>
    <row r="103" spans="1:11" x14ac:dyDescent="0.2">
      <c r="A103" s="82"/>
      <c r="B103" s="82"/>
      <c r="C103" s="80"/>
      <c r="D103" s="80"/>
      <c r="E103" s="81"/>
      <c r="F103" s="81"/>
      <c r="G103" s="81"/>
      <c r="H103" s="81"/>
      <c r="I103"/>
      <c r="J103"/>
      <c r="K103"/>
    </row>
    <row r="104" spans="1:11" x14ac:dyDescent="0.2">
      <c r="A104" s="82"/>
      <c r="B104" s="82"/>
      <c r="C104" s="80"/>
      <c r="D104" s="80"/>
      <c r="E104" s="81"/>
      <c r="F104" s="81"/>
      <c r="G104" s="81"/>
      <c r="H104" s="81"/>
      <c r="I104"/>
      <c r="J104"/>
      <c r="K104"/>
    </row>
    <row r="105" spans="1:11" x14ac:dyDescent="0.2">
      <c r="A105" s="82"/>
      <c r="B105" s="82"/>
      <c r="C105" s="80"/>
      <c r="D105" s="80"/>
      <c r="E105" s="81"/>
      <c r="F105" s="81"/>
      <c r="G105" s="81"/>
      <c r="H105" s="81"/>
      <c r="I105"/>
      <c r="J105"/>
      <c r="K105"/>
    </row>
    <row r="106" spans="1:11" x14ac:dyDescent="0.2">
      <c r="A106" s="82"/>
      <c r="B106" s="82"/>
      <c r="C106" s="80"/>
      <c r="D106" s="80"/>
      <c r="E106" s="81"/>
      <c r="F106" s="81"/>
      <c r="G106" s="81"/>
      <c r="H106" s="81"/>
      <c r="I106"/>
      <c r="J106"/>
      <c r="K106"/>
    </row>
    <row r="107" spans="1:11" x14ac:dyDescent="0.2">
      <c r="A107" s="82"/>
      <c r="B107" s="82"/>
      <c r="C107" s="80"/>
      <c r="D107" s="80"/>
      <c r="E107" s="81"/>
      <c r="F107" s="81"/>
      <c r="G107" s="81"/>
      <c r="H107" s="81"/>
      <c r="I107"/>
      <c r="J107"/>
      <c r="K107"/>
    </row>
  </sheetData>
  <mergeCells count="6">
    <mergeCell ref="C1:D1"/>
    <mergeCell ref="A5:E5"/>
    <mergeCell ref="A32:E32"/>
    <mergeCell ref="A73:E73"/>
    <mergeCell ref="A92:E92"/>
    <mergeCell ref="A51:E5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BE035-5B6D-784B-A95E-CAC20F2E1DC4}">
  <sheetPr>
    <tabColor theme="4"/>
  </sheetPr>
  <dimension ref="A1:K139"/>
  <sheetViews>
    <sheetView zoomScaleNormal="100" workbookViewId="0"/>
  </sheetViews>
  <sheetFormatPr baseColWidth="10" defaultColWidth="10.6640625" defaultRowHeight="16" x14ac:dyDescent="0.2"/>
  <cols>
    <col min="1" max="1" width="26.33203125" customWidth="1"/>
    <col min="2" max="2" width="33.1640625" customWidth="1"/>
    <col min="3" max="4" width="7" style="2" customWidth="1"/>
    <col min="5" max="5" width="15.1640625" customWidth="1"/>
    <col min="6" max="6" width="11.83203125" customWidth="1"/>
    <col min="7" max="7" width="12" customWidth="1"/>
    <col min="8" max="8" width="18.83203125" customWidth="1"/>
    <col min="9" max="10" width="11.6640625" customWidth="1"/>
  </cols>
  <sheetData>
    <row r="1" spans="1:10" s="4" customFormat="1" ht="34" x14ac:dyDescent="0.4">
      <c r="A1" s="3" t="s">
        <v>121</v>
      </c>
      <c r="B1" s="4" t="s">
        <v>129</v>
      </c>
      <c r="C1" s="420">
        <f>SUM(C4:C65)</f>
        <v>6674</v>
      </c>
      <c r="D1" s="420"/>
      <c r="E1" s="108">
        <f>0.04*C1</f>
        <v>266.95999999999998</v>
      </c>
      <c r="F1" s="107" t="s">
        <v>236</v>
      </c>
      <c r="I1" s="155">
        <f>E1-SUM(I4:I65)</f>
        <v>0</v>
      </c>
    </row>
    <row r="2" spans="1:10" ht="17" thickBot="1" x14ac:dyDescent="0.25">
      <c r="D2" s="50"/>
    </row>
    <row r="3" spans="1:10" s="1" customFormat="1" ht="34" customHeight="1" thickBot="1" x14ac:dyDescent="0.25">
      <c r="A3" s="71" t="s">
        <v>20</v>
      </c>
      <c r="B3" s="72" t="s">
        <v>2</v>
      </c>
      <c r="C3" s="419" t="s">
        <v>3</v>
      </c>
      <c r="D3" s="419"/>
      <c r="E3" s="72" t="s">
        <v>1</v>
      </c>
      <c r="F3" s="72" t="s">
        <v>186</v>
      </c>
      <c r="G3" s="72" t="s">
        <v>5</v>
      </c>
      <c r="H3" s="137" t="s">
        <v>16</v>
      </c>
      <c r="I3" s="342" t="s">
        <v>367</v>
      </c>
      <c r="J3" s="60" t="s">
        <v>708</v>
      </c>
    </row>
    <row r="4" spans="1:10" x14ac:dyDescent="0.2">
      <c r="A4" s="22" t="s">
        <v>88</v>
      </c>
      <c r="B4" s="23" t="s">
        <v>21</v>
      </c>
      <c r="C4" s="24">
        <v>1082</v>
      </c>
      <c r="D4" s="25">
        <f t="shared" ref="D4:D65" si="0">C4/$C$1</f>
        <v>0.16212166616721607</v>
      </c>
      <c r="E4" s="26" t="s">
        <v>22</v>
      </c>
      <c r="F4" s="26" t="s">
        <v>187</v>
      </c>
      <c r="G4" s="26" t="s">
        <v>6</v>
      </c>
      <c r="H4" s="355" t="s">
        <v>459</v>
      </c>
      <c r="I4" s="253">
        <f>C4*$J$4/1000</f>
        <v>43.28</v>
      </c>
      <c r="J4" s="424">
        <v>40</v>
      </c>
    </row>
    <row r="5" spans="1:10" x14ac:dyDescent="0.2">
      <c r="A5" s="28" t="s">
        <v>88</v>
      </c>
      <c r="B5" s="14" t="s">
        <v>164</v>
      </c>
      <c r="C5" s="15">
        <v>969</v>
      </c>
      <c r="D5" s="20">
        <f t="shared" si="0"/>
        <v>0.14519029068025172</v>
      </c>
      <c r="E5" s="16" t="s">
        <v>22</v>
      </c>
      <c r="F5" s="16" t="s">
        <v>187</v>
      </c>
      <c r="G5" s="16" t="s">
        <v>6</v>
      </c>
      <c r="H5" s="356" t="s">
        <v>459</v>
      </c>
      <c r="I5" s="254">
        <f t="shared" ref="I5:I65" si="1">C5*$J$4/1000</f>
        <v>38.76</v>
      </c>
      <c r="J5" s="425"/>
    </row>
    <row r="6" spans="1:10" x14ac:dyDescent="0.2">
      <c r="A6" s="28" t="s">
        <v>88</v>
      </c>
      <c r="B6" s="14" t="s">
        <v>122</v>
      </c>
      <c r="C6" s="15">
        <v>622</v>
      </c>
      <c r="D6" s="20">
        <f t="shared" si="0"/>
        <v>9.3197482768954149E-2</v>
      </c>
      <c r="E6" s="16" t="s">
        <v>22</v>
      </c>
      <c r="F6" s="16" t="s">
        <v>187</v>
      </c>
      <c r="G6" s="16" t="s">
        <v>6</v>
      </c>
      <c r="H6" s="356" t="s">
        <v>459</v>
      </c>
      <c r="I6" s="254">
        <f t="shared" si="1"/>
        <v>24.88</v>
      </c>
      <c r="J6" s="425"/>
    </row>
    <row r="7" spans="1:10" ht="17" thickBot="1" x14ac:dyDescent="0.25">
      <c r="A7" s="30" t="s">
        <v>88</v>
      </c>
      <c r="B7" s="31" t="s">
        <v>107</v>
      </c>
      <c r="C7" s="32">
        <v>183</v>
      </c>
      <c r="D7" s="33">
        <f t="shared" si="0"/>
        <v>2.7419838178004197E-2</v>
      </c>
      <c r="E7" s="34" t="s">
        <v>91</v>
      </c>
      <c r="F7" s="34" t="s">
        <v>187</v>
      </c>
      <c r="G7" s="34" t="s">
        <v>6</v>
      </c>
      <c r="H7" s="357" t="s">
        <v>459</v>
      </c>
      <c r="I7" s="255">
        <f t="shared" si="1"/>
        <v>7.32</v>
      </c>
      <c r="J7" s="425"/>
    </row>
    <row r="8" spans="1:10" x14ac:dyDescent="0.2">
      <c r="A8" s="22" t="s">
        <v>8</v>
      </c>
      <c r="B8" s="23" t="s">
        <v>112</v>
      </c>
      <c r="C8" s="24">
        <v>620</v>
      </c>
      <c r="D8" s="25">
        <f t="shared" si="0"/>
        <v>9.2897812406353017E-2</v>
      </c>
      <c r="E8" s="26" t="s">
        <v>4</v>
      </c>
      <c r="F8" s="26" t="s">
        <v>187</v>
      </c>
      <c r="G8" s="26" t="s">
        <v>6</v>
      </c>
      <c r="H8" s="355" t="s">
        <v>459</v>
      </c>
      <c r="I8" s="253">
        <f t="shared" si="1"/>
        <v>24.8</v>
      </c>
      <c r="J8" s="425"/>
    </row>
    <row r="9" spans="1:10" x14ac:dyDescent="0.2">
      <c r="A9" s="28" t="s">
        <v>8</v>
      </c>
      <c r="B9" s="14" t="s">
        <v>17</v>
      </c>
      <c r="C9" s="17">
        <v>121</v>
      </c>
      <c r="D9" s="20">
        <f t="shared" si="0"/>
        <v>1.8130056937368893E-2</v>
      </c>
      <c r="E9" s="16" t="s">
        <v>4</v>
      </c>
      <c r="F9" s="16" t="s">
        <v>187</v>
      </c>
      <c r="G9" s="16" t="s">
        <v>6</v>
      </c>
      <c r="H9" s="356" t="s">
        <v>459</v>
      </c>
      <c r="I9" s="254">
        <f t="shared" si="1"/>
        <v>4.84</v>
      </c>
      <c r="J9" s="425"/>
    </row>
    <row r="10" spans="1:10" x14ac:dyDescent="0.2">
      <c r="A10" s="28" t="s">
        <v>8</v>
      </c>
      <c r="B10" s="14" t="s">
        <v>15</v>
      </c>
      <c r="C10" s="17">
        <v>110</v>
      </c>
      <c r="D10" s="20">
        <f t="shared" si="0"/>
        <v>1.6481869943062631E-2</v>
      </c>
      <c r="E10" s="16" t="s">
        <v>4</v>
      </c>
      <c r="F10" s="16" t="s">
        <v>187</v>
      </c>
      <c r="G10" s="16" t="s">
        <v>6</v>
      </c>
      <c r="H10" s="356" t="s">
        <v>459</v>
      </c>
      <c r="I10" s="254">
        <f t="shared" si="1"/>
        <v>4.4000000000000004</v>
      </c>
      <c r="J10" s="425"/>
    </row>
    <row r="11" spans="1:10" x14ac:dyDescent="0.2">
      <c r="A11" s="28" t="s">
        <v>8</v>
      </c>
      <c r="B11" s="14" t="s">
        <v>113</v>
      </c>
      <c r="C11" s="15">
        <v>57</v>
      </c>
      <c r="D11" s="20">
        <f t="shared" si="0"/>
        <v>8.5406053341324541E-3</v>
      </c>
      <c r="E11" s="16" t="s">
        <v>4</v>
      </c>
      <c r="F11" s="16" t="s">
        <v>187</v>
      </c>
      <c r="G11" s="16" t="s">
        <v>6</v>
      </c>
      <c r="H11" s="356" t="s">
        <v>459</v>
      </c>
      <c r="I11" s="254">
        <f t="shared" si="1"/>
        <v>2.2799999999999998</v>
      </c>
      <c r="J11" s="425"/>
    </row>
    <row r="12" spans="1:10" x14ac:dyDescent="0.2">
      <c r="A12" s="28" t="s">
        <v>8</v>
      </c>
      <c r="B12" s="14" t="s">
        <v>28</v>
      </c>
      <c r="C12" s="15">
        <v>154</v>
      </c>
      <c r="D12" s="20">
        <f t="shared" si="0"/>
        <v>2.3074617920287685E-2</v>
      </c>
      <c r="E12" s="16" t="s">
        <v>22</v>
      </c>
      <c r="F12" s="16" t="s">
        <v>187</v>
      </c>
      <c r="G12" s="16" t="s">
        <v>6</v>
      </c>
      <c r="H12" s="356" t="s">
        <v>459</v>
      </c>
      <c r="I12" s="254">
        <f t="shared" si="1"/>
        <v>6.16</v>
      </c>
      <c r="J12" s="425"/>
    </row>
    <row r="13" spans="1:10" x14ac:dyDescent="0.2">
      <c r="A13" s="28" t="s">
        <v>8</v>
      </c>
      <c r="B13" s="14" t="s">
        <v>119</v>
      </c>
      <c r="C13" s="15">
        <v>35</v>
      </c>
      <c r="D13" s="20">
        <f t="shared" si="0"/>
        <v>5.244231345519928E-3</v>
      </c>
      <c r="E13" s="16" t="s">
        <v>91</v>
      </c>
      <c r="F13" s="16" t="s">
        <v>187</v>
      </c>
      <c r="G13" s="16" t="s">
        <v>6</v>
      </c>
      <c r="H13" s="356" t="s">
        <v>459</v>
      </c>
      <c r="I13" s="254">
        <f t="shared" si="1"/>
        <v>1.4</v>
      </c>
      <c r="J13" s="425"/>
    </row>
    <row r="14" spans="1:10" x14ac:dyDescent="0.2">
      <c r="A14" s="28" t="s">
        <v>8</v>
      </c>
      <c r="B14" s="51" t="s">
        <v>52</v>
      </c>
      <c r="C14" s="52">
        <v>4</v>
      </c>
      <c r="D14" s="53">
        <f t="shared" si="0"/>
        <v>5.9934072520227753E-4</v>
      </c>
      <c r="E14" s="54" t="s">
        <v>385</v>
      </c>
      <c r="F14" s="16" t="s">
        <v>187</v>
      </c>
      <c r="G14" s="16" t="s">
        <v>6</v>
      </c>
      <c r="H14" s="356" t="s">
        <v>459</v>
      </c>
      <c r="I14" s="254">
        <f t="shared" si="1"/>
        <v>0.16</v>
      </c>
      <c r="J14" s="425"/>
    </row>
    <row r="15" spans="1:10" ht="17" thickBot="1" x14ac:dyDescent="0.25">
      <c r="A15" s="30" t="s">
        <v>8</v>
      </c>
      <c r="B15" s="31" t="s">
        <v>38</v>
      </c>
      <c r="C15" s="32">
        <v>1</v>
      </c>
      <c r="D15" s="33">
        <f t="shared" si="0"/>
        <v>1.4983518130056938E-4</v>
      </c>
      <c r="E15" s="34" t="s">
        <v>39</v>
      </c>
      <c r="F15" s="34" t="s">
        <v>187</v>
      </c>
      <c r="G15" s="34" t="s">
        <v>6</v>
      </c>
      <c r="H15" s="357" t="s">
        <v>459</v>
      </c>
      <c r="I15" s="255">
        <f t="shared" si="1"/>
        <v>0.04</v>
      </c>
      <c r="J15" s="425"/>
    </row>
    <row r="16" spans="1:10" x14ac:dyDescent="0.2">
      <c r="A16" s="22" t="s">
        <v>35</v>
      </c>
      <c r="B16" s="23" t="s">
        <v>56</v>
      </c>
      <c r="C16" s="24">
        <v>554</v>
      </c>
      <c r="D16" s="25">
        <f t="shared" si="0"/>
        <v>8.300869044051544E-2</v>
      </c>
      <c r="E16" s="26" t="s">
        <v>39</v>
      </c>
      <c r="F16" s="26" t="s">
        <v>187</v>
      </c>
      <c r="G16" s="26" t="s">
        <v>6</v>
      </c>
      <c r="H16" s="355" t="s">
        <v>459</v>
      </c>
      <c r="I16" s="253">
        <f t="shared" si="1"/>
        <v>22.16</v>
      </c>
      <c r="J16" s="425"/>
    </row>
    <row r="17" spans="1:10" x14ac:dyDescent="0.2">
      <c r="A17" s="28" t="s">
        <v>35</v>
      </c>
      <c r="B17" s="14" t="s">
        <v>89</v>
      </c>
      <c r="C17" s="15">
        <v>394</v>
      </c>
      <c r="D17" s="20">
        <f t="shared" si="0"/>
        <v>5.9035061432424332E-2</v>
      </c>
      <c r="E17" s="16" t="s">
        <v>39</v>
      </c>
      <c r="F17" s="16" t="s">
        <v>187</v>
      </c>
      <c r="G17" s="16" t="s">
        <v>6</v>
      </c>
      <c r="H17" s="356" t="s">
        <v>459</v>
      </c>
      <c r="I17" s="254">
        <f t="shared" si="1"/>
        <v>15.76</v>
      </c>
      <c r="J17" s="425"/>
    </row>
    <row r="18" spans="1:10" x14ac:dyDescent="0.2">
      <c r="A18" s="28" t="s">
        <v>35</v>
      </c>
      <c r="B18" s="14" t="s">
        <v>78</v>
      </c>
      <c r="C18" s="15">
        <v>25</v>
      </c>
      <c r="D18" s="20">
        <f t="shared" si="0"/>
        <v>3.7458795325142342E-3</v>
      </c>
      <c r="E18" s="16" t="s">
        <v>91</v>
      </c>
      <c r="F18" s="16" t="s">
        <v>187</v>
      </c>
      <c r="G18" s="16" t="s">
        <v>6</v>
      </c>
      <c r="H18" s="356" t="s">
        <v>459</v>
      </c>
      <c r="I18" s="254">
        <f t="shared" si="1"/>
        <v>1</v>
      </c>
      <c r="J18" s="425"/>
    </row>
    <row r="19" spans="1:10" x14ac:dyDescent="0.2">
      <c r="A19" s="28" t="s">
        <v>35</v>
      </c>
      <c r="B19" s="14" t="s">
        <v>239</v>
      </c>
      <c r="C19" s="15">
        <v>20</v>
      </c>
      <c r="D19" s="20">
        <f t="shared" ref="D19" si="2">C19/$C$1</f>
        <v>2.9967036260113876E-3</v>
      </c>
      <c r="E19" s="16" t="s">
        <v>39</v>
      </c>
      <c r="F19" s="16" t="s">
        <v>187</v>
      </c>
      <c r="G19" s="16" t="s">
        <v>6</v>
      </c>
      <c r="H19" s="356" t="s">
        <v>459</v>
      </c>
      <c r="I19" s="254">
        <f t="shared" si="1"/>
        <v>0.8</v>
      </c>
      <c r="J19" s="425"/>
    </row>
    <row r="20" spans="1:10" x14ac:dyDescent="0.2">
      <c r="A20" s="28" t="s">
        <v>35</v>
      </c>
      <c r="B20" s="14" t="s">
        <v>116</v>
      </c>
      <c r="C20" s="15">
        <v>15</v>
      </c>
      <c r="D20" s="20">
        <f t="shared" si="0"/>
        <v>2.2475277195085405E-3</v>
      </c>
      <c r="E20" s="16" t="s">
        <v>22</v>
      </c>
      <c r="F20" s="16" t="s">
        <v>187</v>
      </c>
      <c r="G20" s="16" t="s">
        <v>6</v>
      </c>
      <c r="H20" s="356" t="s">
        <v>459</v>
      </c>
      <c r="I20" s="254">
        <f t="shared" si="1"/>
        <v>0.6</v>
      </c>
      <c r="J20" s="425"/>
    </row>
    <row r="21" spans="1:10" x14ac:dyDescent="0.2">
      <c r="A21" s="28" t="s">
        <v>35</v>
      </c>
      <c r="B21" s="14" t="s">
        <v>117</v>
      </c>
      <c r="C21" s="15">
        <v>11</v>
      </c>
      <c r="D21" s="20">
        <f t="shared" si="0"/>
        <v>1.648186994306263E-3</v>
      </c>
      <c r="E21" s="16" t="s">
        <v>39</v>
      </c>
      <c r="F21" s="16" t="s">
        <v>187</v>
      </c>
      <c r="G21" s="16" t="s">
        <v>6</v>
      </c>
      <c r="H21" s="356" t="s">
        <v>459</v>
      </c>
      <c r="I21" s="254">
        <f t="shared" si="1"/>
        <v>0.44</v>
      </c>
      <c r="J21" s="425"/>
    </row>
    <row r="22" spans="1:10" ht="17" thickBot="1" x14ac:dyDescent="0.25">
      <c r="A22" s="62" t="s">
        <v>35</v>
      </c>
      <c r="B22" s="51" t="s">
        <v>215</v>
      </c>
      <c r="C22" s="52">
        <v>16</v>
      </c>
      <c r="D22" s="53">
        <f>C22/$C$1</f>
        <v>2.3973629008091101E-3</v>
      </c>
      <c r="E22" s="54" t="s">
        <v>22</v>
      </c>
      <c r="F22" s="54" t="s">
        <v>187</v>
      </c>
      <c r="G22" s="54" t="s">
        <v>7</v>
      </c>
      <c r="H22" s="358" t="s">
        <v>459</v>
      </c>
      <c r="I22" s="256">
        <f t="shared" si="1"/>
        <v>0.64</v>
      </c>
      <c r="J22" s="425"/>
    </row>
    <row r="23" spans="1:10" ht="17" thickBot="1" x14ac:dyDescent="0.25">
      <c r="A23" s="35" t="s">
        <v>298</v>
      </c>
      <c r="B23" s="36" t="s">
        <v>90</v>
      </c>
      <c r="C23" s="37">
        <v>67</v>
      </c>
      <c r="D23" s="38">
        <f>C23/$C$1</f>
        <v>1.0038957147138148E-2</v>
      </c>
      <c r="E23" s="39" t="s">
        <v>91</v>
      </c>
      <c r="F23" s="39" t="s">
        <v>187</v>
      </c>
      <c r="G23" s="39" t="s">
        <v>6</v>
      </c>
      <c r="H23" s="359" t="s">
        <v>459</v>
      </c>
      <c r="I23" s="257">
        <f t="shared" si="1"/>
        <v>2.68</v>
      </c>
      <c r="J23" s="425"/>
    </row>
    <row r="24" spans="1:10" ht="17" thickBot="1" x14ac:dyDescent="0.25">
      <c r="A24" s="249" t="s">
        <v>97</v>
      </c>
      <c r="B24" s="113" t="s">
        <v>420</v>
      </c>
      <c r="C24" s="114">
        <v>260</v>
      </c>
      <c r="D24" s="115">
        <f t="shared" si="0"/>
        <v>3.8957147138148039E-2</v>
      </c>
      <c r="E24" s="116" t="s">
        <v>22</v>
      </c>
      <c r="F24" s="116" t="s">
        <v>187</v>
      </c>
      <c r="G24" s="116" t="s">
        <v>6</v>
      </c>
      <c r="H24" s="360" t="s">
        <v>459</v>
      </c>
      <c r="I24" s="258">
        <f t="shared" si="1"/>
        <v>10.4</v>
      </c>
      <c r="J24" s="425"/>
    </row>
    <row r="25" spans="1:10" ht="17" thickBot="1" x14ac:dyDescent="0.25">
      <c r="A25" s="35" t="s">
        <v>426</v>
      </c>
      <c r="B25" s="36" t="s">
        <v>95</v>
      </c>
      <c r="C25" s="37">
        <v>120</v>
      </c>
      <c r="D25" s="38">
        <f t="shared" si="0"/>
        <v>1.7980221756068324E-2</v>
      </c>
      <c r="E25" s="39" t="s">
        <v>91</v>
      </c>
      <c r="F25" s="39" t="s">
        <v>187</v>
      </c>
      <c r="G25" s="39" t="s">
        <v>6</v>
      </c>
      <c r="H25" s="359" t="s">
        <v>459</v>
      </c>
      <c r="I25" s="257">
        <f t="shared" si="1"/>
        <v>4.8</v>
      </c>
      <c r="J25" s="425"/>
    </row>
    <row r="26" spans="1:10" ht="17" thickBot="1" x14ac:dyDescent="0.25">
      <c r="A26" s="249" t="s">
        <v>94</v>
      </c>
      <c r="B26" s="113" t="s">
        <v>438</v>
      </c>
      <c r="C26" s="114">
        <v>119</v>
      </c>
      <c r="D26" s="115">
        <f>C26/$C$1</f>
        <v>1.7830386574767754E-2</v>
      </c>
      <c r="E26" s="116" t="s">
        <v>93</v>
      </c>
      <c r="F26" s="116" t="s">
        <v>187</v>
      </c>
      <c r="G26" s="116" t="s">
        <v>7</v>
      </c>
      <c r="H26" s="360" t="s">
        <v>459</v>
      </c>
      <c r="I26" s="258">
        <f>C26*$J$4/1000</f>
        <v>4.76</v>
      </c>
      <c r="J26" s="425"/>
    </row>
    <row r="27" spans="1:10" ht="17" thickBot="1" x14ac:dyDescent="0.25">
      <c r="A27" s="35" t="s">
        <v>738</v>
      </c>
      <c r="B27" s="36" t="s">
        <v>103</v>
      </c>
      <c r="C27" s="37">
        <v>83</v>
      </c>
      <c r="D27" s="38">
        <f>C27/$C$1</f>
        <v>1.2436320047947258E-2</v>
      </c>
      <c r="E27" s="39" t="s">
        <v>91</v>
      </c>
      <c r="F27" s="39" t="s">
        <v>187</v>
      </c>
      <c r="G27" s="39" t="s">
        <v>6</v>
      </c>
      <c r="H27" s="359" t="s">
        <v>459</v>
      </c>
      <c r="I27" s="257">
        <f>C27*$J$4/1000</f>
        <v>3.32</v>
      </c>
      <c r="J27" s="425"/>
    </row>
    <row r="28" spans="1:10" ht="17" thickBot="1" x14ac:dyDescent="0.25">
      <c r="A28" s="249" t="s">
        <v>427</v>
      </c>
      <c r="B28" s="113" t="s">
        <v>96</v>
      </c>
      <c r="C28" s="114">
        <v>75</v>
      </c>
      <c r="D28" s="115">
        <f t="shared" si="0"/>
        <v>1.1237638597542702E-2</v>
      </c>
      <c r="E28" s="116" t="s">
        <v>91</v>
      </c>
      <c r="F28" s="116" t="s">
        <v>187</v>
      </c>
      <c r="G28" s="116" t="s">
        <v>6</v>
      </c>
      <c r="H28" s="360" t="s">
        <v>459</v>
      </c>
      <c r="I28" s="258">
        <f t="shared" si="1"/>
        <v>3</v>
      </c>
      <c r="J28" s="425"/>
    </row>
    <row r="29" spans="1:10" ht="17" thickBot="1" x14ac:dyDescent="0.25">
      <c r="A29" s="35" t="s">
        <v>431</v>
      </c>
      <c r="B29" s="36" t="s">
        <v>130</v>
      </c>
      <c r="C29" s="37">
        <v>82</v>
      </c>
      <c r="D29" s="38">
        <f t="shared" si="0"/>
        <v>1.2286484866646689E-2</v>
      </c>
      <c r="E29" s="39" t="s">
        <v>22</v>
      </c>
      <c r="F29" s="39" t="s">
        <v>187</v>
      </c>
      <c r="G29" s="39" t="s">
        <v>6</v>
      </c>
      <c r="H29" s="359" t="s">
        <v>459</v>
      </c>
      <c r="I29" s="257">
        <f t="shared" si="1"/>
        <v>3.28</v>
      </c>
      <c r="J29" s="425"/>
    </row>
    <row r="30" spans="1:10" ht="17" thickBot="1" x14ac:dyDescent="0.25">
      <c r="A30" s="249" t="s">
        <v>101</v>
      </c>
      <c r="B30" s="113" t="s">
        <v>102</v>
      </c>
      <c r="C30" s="114">
        <v>43</v>
      </c>
      <c r="D30" s="115">
        <f t="shared" si="0"/>
        <v>6.4429127959244829E-3</v>
      </c>
      <c r="E30" s="116" t="s">
        <v>39</v>
      </c>
      <c r="F30" s="116" t="s">
        <v>187</v>
      </c>
      <c r="G30" s="116" t="s">
        <v>6</v>
      </c>
      <c r="H30" s="360" t="s">
        <v>459</v>
      </c>
      <c r="I30" s="258">
        <f t="shared" si="1"/>
        <v>1.72</v>
      </c>
      <c r="J30" s="425"/>
    </row>
    <row r="31" spans="1:10" ht="17" thickBot="1" x14ac:dyDescent="0.25">
      <c r="A31" s="35" t="s">
        <v>430</v>
      </c>
      <c r="B31" s="36" t="s">
        <v>100</v>
      </c>
      <c r="C31" s="37">
        <v>37</v>
      </c>
      <c r="D31" s="38">
        <f t="shared" si="0"/>
        <v>5.5439017081210665E-3</v>
      </c>
      <c r="E31" s="39" t="s">
        <v>39</v>
      </c>
      <c r="F31" s="39" t="s">
        <v>187</v>
      </c>
      <c r="G31" s="39" t="s">
        <v>6</v>
      </c>
      <c r="H31" s="359" t="s">
        <v>459</v>
      </c>
      <c r="I31" s="257">
        <f t="shared" si="1"/>
        <v>1.48</v>
      </c>
      <c r="J31" s="425"/>
    </row>
    <row r="32" spans="1:10" ht="17" thickBot="1" x14ac:dyDescent="0.25">
      <c r="A32" s="249" t="s">
        <v>108</v>
      </c>
      <c r="B32" s="113" t="s">
        <v>165</v>
      </c>
      <c r="C32" s="114">
        <v>49</v>
      </c>
      <c r="D32" s="250">
        <f t="shared" si="0"/>
        <v>7.3419238837278992E-3</v>
      </c>
      <c r="E32" s="116" t="s">
        <v>39</v>
      </c>
      <c r="F32" s="116" t="s">
        <v>187</v>
      </c>
      <c r="G32" s="116" t="s">
        <v>6</v>
      </c>
      <c r="H32" s="360" t="s">
        <v>459</v>
      </c>
      <c r="I32" s="258">
        <f t="shared" si="1"/>
        <v>1.96</v>
      </c>
      <c r="J32" s="425"/>
    </row>
    <row r="33" spans="1:10" ht="17" thickBot="1" x14ac:dyDescent="0.25">
      <c r="A33" s="251" t="s">
        <v>432</v>
      </c>
      <c r="B33" s="42" t="s">
        <v>120</v>
      </c>
      <c r="C33" s="43">
        <v>57</v>
      </c>
      <c r="D33" s="44">
        <f>C33/$C$1</f>
        <v>8.5406053341324541E-3</v>
      </c>
      <c r="E33" s="45" t="s">
        <v>39</v>
      </c>
      <c r="F33" s="45" t="s">
        <v>187</v>
      </c>
      <c r="G33" s="45" t="s">
        <v>6</v>
      </c>
      <c r="H33" s="361" t="s">
        <v>459</v>
      </c>
      <c r="I33" s="259">
        <f t="shared" si="1"/>
        <v>2.2799999999999998</v>
      </c>
      <c r="J33" s="425"/>
    </row>
    <row r="34" spans="1:10" x14ac:dyDescent="0.2">
      <c r="A34" s="22" t="s">
        <v>115</v>
      </c>
      <c r="B34" s="23" t="s">
        <v>123</v>
      </c>
      <c r="C34" s="24">
        <v>29</v>
      </c>
      <c r="D34" s="25">
        <f t="shared" si="0"/>
        <v>4.3452202577165117E-3</v>
      </c>
      <c r="E34" s="26" t="s">
        <v>91</v>
      </c>
      <c r="F34" s="26" t="s">
        <v>187</v>
      </c>
      <c r="G34" s="26" t="s">
        <v>7</v>
      </c>
      <c r="H34" s="186" t="s">
        <v>459</v>
      </c>
      <c r="I34" s="253">
        <f t="shared" si="1"/>
        <v>1.1599999999999999</v>
      </c>
      <c r="J34" s="425"/>
    </row>
    <row r="35" spans="1:10" ht="17" thickBot="1" x14ac:dyDescent="0.25">
      <c r="A35" s="62" t="s">
        <v>115</v>
      </c>
      <c r="B35" s="51" t="s">
        <v>429</v>
      </c>
      <c r="C35" s="52">
        <v>10</v>
      </c>
      <c r="D35" s="53">
        <f t="shared" ref="D35" si="3">C35/$C$1</f>
        <v>1.4983518130056938E-3</v>
      </c>
      <c r="E35" s="54" t="s">
        <v>93</v>
      </c>
      <c r="F35" s="54" t="s">
        <v>187</v>
      </c>
      <c r="G35" s="54" t="s">
        <v>7</v>
      </c>
      <c r="H35" s="362" t="s">
        <v>459</v>
      </c>
      <c r="I35" s="256">
        <f t="shared" si="1"/>
        <v>0.4</v>
      </c>
      <c r="J35" s="425"/>
    </row>
    <row r="36" spans="1:10" ht="17" thickBot="1" x14ac:dyDescent="0.25">
      <c r="A36" s="70" t="s">
        <v>232</v>
      </c>
      <c r="B36" s="106" t="s">
        <v>233</v>
      </c>
      <c r="C36" s="37">
        <v>15</v>
      </c>
      <c r="D36" s="38">
        <f t="shared" ref="D36" si="4">C36/$C$1</f>
        <v>2.2475277195085405E-3</v>
      </c>
      <c r="E36" s="39" t="s">
        <v>39</v>
      </c>
      <c r="F36" s="39" t="s">
        <v>187</v>
      </c>
      <c r="G36" s="39" t="s">
        <v>6</v>
      </c>
      <c r="H36" s="359" t="s">
        <v>459</v>
      </c>
      <c r="I36" s="257">
        <f t="shared" si="1"/>
        <v>0.6</v>
      </c>
      <c r="J36" s="425"/>
    </row>
    <row r="37" spans="1:10" ht="17" thickBot="1" x14ac:dyDescent="0.25">
      <c r="A37" s="249" t="s">
        <v>99</v>
      </c>
      <c r="B37" s="113" t="s">
        <v>98</v>
      </c>
      <c r="C37" s="114">
        <v>10</v>
      </c>
      <c r="D37" s="115">
        <f t="shared" si="0"/>
        <v>1.4983518130056938E-3</v>
      </c>
      <c r="E37" s="116" t="s">
        <v>127</v>
      </c>
      <c r="F37" s="116" t="s">
        <v>187</v>
      </c>
      <c r="G37" s="116" t="s">
        <v>6</v>
      </c>
      <c r="H37" s="360" t="s">
        <v>459</v>
      </c>
      <c r="I37" s="258">
        <f t="shared" si="1"/>
        <v>0.4</v>
      </c>
      <c r="J37" s="425"/>
    </row>
    <row r="38" spans="1:10" x14ac:dyDescent="0.2">
      <c r="A38" s="22" t="s">
        <v>352</v>
      </c>
      <c r="B38" s="23" t="s">
        <v>109</v>
      </c>
      <c r="C38" s="24">
        <v>2</v>
      </c>
      <c r="D38" s="25">
        <f t="shared" si="0"/>
        <v>2.9967036260113877E-4</v>
      </c>
      <c r="E38" s="26" t="s">
        <v>91</v>
      </c>
      <c r="F38" s="26" t="s">
        <v>187</v>
      </c>
      <c r="G38" s="26" t="s">
        <v>6</v>
      </c>
      <c r="H38" s="355" t="s">
        <v>459</v>
      </c>
      <c r="I38" s="253">
        <f t="shared" si="1"/>
        <v>0.08</v>
      </c>
      <c r="J38" s="425"/>
    </row>
    <row r="39" spans="1:10" ht="17" thickBot="1" x14ac:dyDescent="0.25">
      <c r="A39" s="30" t="s">
        <v>352</v>
      </c>
      <c r="B39" s="31" t="s">
        <v>114</v>
      </c>
      <c r="C39" s="32">
        <v>1</v>
      </c>
      <c r="D39" s="33">
        <f t="shared" si="0"/>
        <v>1.4983518130056938E-4</v>
      </c>
      <c r="E39" s="34" t="s">
        <v>4</v>
      </c>
      <c r="F39" s="34" t="s">
        <v>187</v>
      </c>
      <c r="G39" s="34" t="s">
        <v>6</v>
      </c>
      <c r="H39" s="357" t="s">
        <v>459</v>
      </c>
      <c r="I39" s="255">
        <f t="shared" si="1"/>
        <v>0.04</v>
      </c>
      <c r="J39" s="425"/>
    </row>
    <row r="40" spans="1:10" x14ac:dyDescent="0.2">
      <c r="A40" s="90" t="s">
        <v>545</v>
      </c>
      <c r="B40" s="23" t="s">
        <v>92</v>
      </c>
      <c r="C40" s="24">
        <v>28</v>
      </c>
      <c r="D40" s="25">
        <f>C40/$C$1</f>
        <v>4.1953850764159424E-3</v>
      </c>
      <c r="E40" s="26" t="s">
        <v>93</v>
      </c>
      <c r="F40" s="26" t="s">
        <v>187</v>
      </c>
      <c r="G40" s="26" t="s">
        <v>7</v>
      </c>
      <c r="H40" s="355" t="s">
        <v>459</v>
      </c>
      <c r="I40" s="253">
        <f t="shared" si="1"/>
        <v>1.1200000000000001</v>
      </c>
      <c r="J40" s="425"/>
    </row>
    <row r="41" spans="1:10" x14ac:dyDescent="0.2">
      <c r="A41" s="182" t="s">
        <v>545</v>
      </c>
      <c r="B41" s="113" t="s">
        <v>423</v>
      </c>
      <c r="C41" s="114">
        <v>8</v>
      </c>
      <c r="D41" s="115">
        <f>C41/$C$1</f>
        <v>1.1986814504045551E-3</v>
      </c>
      <c r="E41" s="116" t="s">
        <v>230</v>
      </c>
      <c r="F41" s="116" t="s">
        <v>187</v>
      </c>
      <c r="G41" s="116" t="s">
        <v>7</v>
      </c>
      <c r="H41" s="360" t="s">
        <v>459</v>
      </c>
      <c r="I41" s="254">
        <f t="shared" si="1"/>
        <v>0.32</v>
      </c>
      <c r="J41" s="425"/>
    </row>
    <row r="42" spans="1:10" ht="17" thickBot="1" x14ac:dyDescent="0.25">
      <c r="A42" s="68" t="s">
        <v>545</v>
      </c>
      <c r="B42" s="31" t="s">
        <v>199</v>
      </c>
      <c r="C42" s="32">
        <v>6</v>
      </c>
      <c r="D42" s="33">
        <f>C42/$C$1</f>
        <v>8.9901108780341625E-4</v>
      </c>
      <c r="E42" s="34" t="s">
        <v>385</v>
      </c>
      <c r="F42" s="34" t="s">
        <v>187</v>
      </c>
      <c r="G42" s="34" t="s">
        <v>7</v>
      </c>
      <c r="H42" s="357" t="s">
        <v>459</v>
      </c>
      <c r="I42" s="255">
        <f t="shared" si="1"/>
        <v>0.24</v>
      </c>
      <c r="J42" s="425"/>
    </row>
    <row r="43" spans="1:10" ht="17" thickBot="1" x14ac:dyDescent="0.25">
      <c r="A43" s="251" t="s">
        <v>411</v>
      </c>
      <c r="B43" s="42" t="s">
        <v>163</v>
      </c>
      <c r="C43" s="43">
        <v>25</v>
      </c>
      <c r="D43" s="44">
        <f t="shared" ref="D43" si="5">C43/$C$1</f>
        <v>3.7458795325142342E-3</v>
      </c>
      <c r="E43" s="45" t="s">
        <v>22</v>
      </c>
      <c r="F43" s="45" t="s">
        <v>187</v>
      </c>
      <c r="G43" s="45" t="s">
        <v>7</v>
      </c>
      <c r="H43" s="361" t="s">
        <v>459</v>
      </c>
      <c r="I43" s="259">
        <f t="shared" si="1"/>
        <v>1</v>
      </c>
      <c r="J43" s="425"/>
    </row>
    <row r="44" spans="1:10" ht="18" thickBot="1" x14ac:dyDescent="0.25">
      <c r="A44" s="35" t="s">
        <v>42</v>
      </c>
      <c r="B44" s="46" t="s">
        <v>43</v>
      </c>
      <c r="C44" s="37">
        <v>15</v>
      </c>
      <c r="D44" s="38">
        <f t="shared" si="0"/>
        <v>2.2475277195085405E-3</v>
      </c>
      <c r="E44" s="39" t="s">
        <v>385</v>
      </c>
      <c r="F44" s="39" t="s">
        <v>187</v>
      </c>
      <c r="G44" s="39" t="s">
        <v>6</v>
      </c>
      <c r="H44" s="359" t="s">
        <v>459</v>
      </c>
      <c r="I44" s="257">
        <f t="shared" si="1"/>
        <v>0.6</v>
      </c>
      <c r="J44" s="425"/>
    </row>
    <row r="45" spans="1:10" ht="18" thickBot="1" x14ac:dyDescent="0.25">
      <c r="A45" s="35" t="s">
        <v>166</v>
      </c>
      <c r="B45" s="46" t="s">
        <v>167</v>
      </c>
      <c r="C45" s="37">
        <v>30</v>
      </c>
      <c r="D45" s="38">
        <f t="shared" si="0"/>
        <v>4.4950554390170809E-3</v>
      </c>
      <c r="E45" s="39" t="s">
        <v>39</v>
      </c>
      <c r="F45" s="39" t="s">
        <v>187</v>
      </c>
      <c r="G45" s="39" t="s">
        <v>6</v>
      </c>
      <c r="H45" s="359" t="s">
        <v>459</v>
      </c>
      <c r="I45" s="257">
        <f t="shared" si="1"/>
        <v>1.2</v>
      </c>
      <c r="J45" s="425"/>
    </row>
    <row r="46" spans="1:10" ht="17" thickBot="1" x14ac:dyDescent="0.25">
      <c r="A46" s="35" t="s">
        <v>45</v>
      </c>
      <c r="B46" s="36" t="s">
        <v>118</v>
      </c>
      <c r="C46" s="37">
        <v>3</v>
      </c>
      <c r="D46" s="38">
        <f t="shared" si="0"/>
        <v>4.4950554390170812E-4</v>
      </c>
      <c r="E46" s="39" t="s">
        <v>385</v>
      </c>
      <c r="F46" s="39" t="s">
        <v>187</v>
      </c>
      <c r="G46" s="39" t="s">
        <v>6</v>
      </c>
      <c r="H46" s="359" t="s">
        <v>459</v>
      </c>
      <c r="I46" s="257">
        <f t="shared" si="1"/>
        <v>0.12</v>
      </c>
      <c r="J46" s="425"/>
    </row>
    <row r="47" spans="1:10" ht="17" thickBot="1" x14ac:dyDescent="0.25">
      <c r="A47" s="249" t="s">
        <v>111</v>
      </c>
      <c r="B47" s="113" t="s">
        <v>110</v>
      </c>
      <c r="C47" s="114">
        <v>6</v>
      </c>
      <c r="D47" s="115">
        <f t="shared" si="0"/>
        <v>8.9901108780341625E-4</v>
      </c>
      <c r="E47" s="116" t="s">
        <v>91</v>
      </c>
      <c r="F47" s="116" t="s">
        <v>187</v>
      </c>
      <c r="G47" s="116" t="s">
        <v>6</v>
      </c>
      <c r="H47" s="360" t="s">
        <v>459</v>
      </c>
      <c r="I47" s="258">
        <f t="shared" si="1"/>
        <v>0.24</v>
      </c>
      <c r="J47" s="425"/>
    </row>
    <row r="48" spans="1:10" ht="17" thickBot="1" x14ac:dyDescent="0.25">
      <c r="A48" s="35" t="s">
        <v>106</v>
      </c>
      <c r="B48" s="36" t="s">
        <v>131</v>
      </c>
      <c r="C48" s="37">
        <v>11</v>
      </c>
      <c r="D48" s="38">
        <f t="shared" si="0"/>
        <v>1.648186994306263E-3</v>
      </c>
      <c r="E48" s="39" t="s">
        <v>616</v>
      </c>
      <c r="F48" s="39" t="s">
        <v>187</v>
      </c>
      <c r="G48" s="39" t="s">
        <v>7</v>
      </c>
      <c r="H48" s="359" t="s">
        <v>459</v>
      </c>
      <c r="I48" s="257">
        <f t="shared" si="1"/>
        <v>0.44</v>
      </c>
      <c r="J48" s="425"/>
    </row>
    <row r="49" spans="1:10" ht="17" thickBot="1" x14ac:dyDescent="0.25">
      <c r="A49" s="249" t="s">
        <v>104</v>
      </c>
      <c r="B49" s="113" t="s">
        <v>124</v>
      </c>
      <c r="C49" s="114">
        <v>4</v>
      </c>
      <c r="D49" s="115">
        <f t="shared" si="0"/>
        <v>5.9934072520227753E-4</v>
      </c>
      <c r="E49" s="116" t="s">
        <v>105</v>
      </c>
      <c r="F49" s="116" t="s">
        <v>187</v>
      </c>
      <c r="G49" s="116" t="s">
        <v>7</v>
      </c>
      <c r="H49" s="360" t="s">
        <v>459</v>
      </c>
      <c r="I49" s="258">
        <f t="shared" si="1"/>
        <v>0.16</v>
      </c>
      <c r="J49" s="425"/>
    </row>
    <row r="50" spans="1:10" ht="17" thickBot="1" x14ac:dyDescent="0.25">
      <c r="A50" s="35" t="s">
        <v>217</v>
      </c>
      <c r="B50" s="36" t="s">
        <v>218</v>
      </c>
      <c r="C50" s="37">
        <v>4</v>
      </c>
      <c r="D50" s="38">
        <f>C50/$C$1</f>
        <v>5.9934072520227753E-4</v>
      </c>
      <c r="E50" s="39" t="s">
        <v>39</v>
      </c>
      <c r="F50" s="39" t="s">
        <v>187</v>
      </c>
      <c r="G50" s="39" t="s">
        <v>6</v>
      </c>
      <c r="H50" s="359" t="s">
        <v>459</v>
      </c>
      <c r="I50" s="257">
        <f t="shared" si="1"/>
        <v>0.16</v>
      </c>
      <c r="J50" s="425"/>
    </row>
    <row r="51" spans="1:10" ht="17" thickBot="1" x14ac:dyDescent="0.25">
      <c r="A51" s="249" t="s">
        <v>437</v>
      </c>
      <c r="B51" s="113" t="s">
        <v>125</v>
      </c>
      <c r="C51" s="114">
        <v>22</v>
      </c>
      <c r="D51" s="115">
        <f t="shared" si="0"/>
        <v>3.2963739886125261E-3</v>
      </c>
      <c r="E51" s="116" t="s">
        <v>105</v>
      </c>
      <c r="F51" s="116" t="s">
        <v>187</v>
      </c>
      <c r="G51" s="116" t="s">
        <v>6</v>
      </c>
      <c r="H51" s="360" t="s">
        <v>459</v>
      </c>
      <c r="I51" s="258">
        <f t="shared" si="1"/>
        <v>0.88</v>
      </c>
      <c r="J51" s="425"/>
    </row>
    <row r="52" spans="1:10" ht="17" thickBot="1" x14ac:dyDescent="0.25">
      <c r="A52" s="70" t="s">
        <v>428</v>
      </c>
      <c r="B52" s="36" t="s">
        <v>216</v>
      </c>
      <c r="C52" s="37">
        <v>6</v>
      </c>
      <c r="D52" s="38">
        <f t="shared" ref="D52" si="6">C52/$C$1</f>
        <v>8.9901108780341625E-4</v>
      </c>
      <c r="E52" s="39" t="s">
        <v>39</v>
      </c>
      <c r="F52" s="39" t="s">
        <v>187</v>
      </c>
      <c r="G52" s="39" t="s">
        <v>7</v>
      </c>
      <c r="H52" s="359" t="s">
        <v>459</v>
      </c>
      <c r="I52" s="257">
        <f t="shared" si="1"/>
        <v>0.24</v>
      </c>
      <c r="J52" s="425"/>
    </row>
    <row r="53" spans="1:10" x14ac:dyDescent="0.2">
      <c r="A53" s="387" t="s">
        <v>440</v>
      </c>
      <c r="B53" s="23" t="s">
        <v>214</v>
      </c>
      <c r="C53" s="24">
        <v>8</v>
      </c>
      <c r="D53" s="25">
        <f t="shared" ref="D53:D54" si="7">C53/$C$1</f>
        <v>1.1986814504045551E-3</v>
      </c>
      <c r="E53" s="26" t="s">
        <v>39</v>
      </c>
      <c r="F53" s="26" t="s">
        <v>187</v>
      </c>
      <c r="G53" s="26" t="s">
        <v>7</v>
      </c>
      <c r="H53" s="355" t="s">
        <v>459</v>
      </c>
      <c r="I53" s="253">
        <f t="shared" si="1"/>
        <v>0.32</v>
      </c>
      <c r="J53" s="425"/>
    </row>
    <row r="54" spans="1:10" ht="17" thickBot="1" x14ac:dyDescent="0.25">
      <c r="A54" s="389" t="s">
        <v>440</v>
      </c>
      <c r="B54" s="31" t="s">
        <v>184</v>
      </c>
      <c r="C54" s="32">
        <v>6</v>
      </c>
      <c r="D54" s="33">
        <f t="shared" si="7"/>
        <v>8.9901108780341625E-4</v>
      </c>
      <c r="E54" s="34" t="s">
        <v>616</v>
      </c>
      <c r="F54" s="34" t="s">
        <v>187</v>
      </c>
      <c r="G54" s="34" t="s">
        <v>7</v>
      </c>
      <c r="H54" s="357" t="s">
        <v>459</v>
      </c>
      <c r="I54" s="255">
        <f t="shared" si="1"/>
        <v>0.24</v>
      </c>
      <c r="J54" s="425"/>
    </row>
    <row r="55" spans="1:10" x14ac:dyDescent="0.2">
      <c r="A55" s="102" t="s">
        <v>435</v>
      </c>
      <c r="B55" s="69" t="s">
        <v>226</v>
      </c>
      <c r="C55" s="55">
        <v>12</v>
      </c>
      <c r="D55" s="56">
        <f t="shared" si="0"/>
        <v>1.7980221756068325E-3</v>
      </c>
      <c r="E55" s="57" t="s">
        <v>127</v>
      </c>
      <c r="F55" s="57" t="s">
        <v>187</v>
      </c>
      <c r="G55" s="57" t="s">
        <v>7</v>
      </c>
      <c r="H55" s="363" t="s">
        <v>459</v>
      </c>
      <c r="I55" s="260">
        <f t="shared" si="1"/>
        <v>0.48</v>
      </c>
      <c r="J55" s="425"/>
    </row>
    <row r="56" spans="1:10" x14ac:dyDescent="0.2">
      <c r="A56" s="102" t="s">
        <v>435</v>
      </c>
      <c r="B56" s="69" t="s">
        <v>227</v>
      </c>
      <c r="C56" s="55">
        <v>57</v>
      </c>
      <c r="D56" s="56">
        <f t="shared" ref="D56" si="8">C56/$C$1</f>
        <v>8.5406053341324541E-3</v>
      </c>
      <c r="E56" s="57" t="s">
        <v>105</v>
      </c>
      <c r="F56" s="57" t="s">
        <v>187</v>
      </c>
      <c r="G56" s="57" t="s">
        <v>7</v>
      </c>
      <c r="H56" s="363" t="s">
        <v>459</v>
      </c>
      <c r="I56" s="254">
        <f t="shared" si="1"/>
        <v>2.2799999999999998</v>
      </c>
      <c r="J56" s="425"/>
    </row>
    <row r="57" spans="1:10" x14ac:dyDescent="0.2">
      <c r="A57" s="102" t="s">
        <v>435</v>
      </c>
      <c r="B57" s="69" t="s">
        <v>219</v>
      </c>
      <c r="C57" s="55">
        <f>84+25</f>
        <v>109</v>
      </c>
      <c r="D57" s="56">
        <f t="shared" si="0"/>
        <v>1.6332034761762062E-2</v>
      </c>
      <c r="E57" s="57" t="s">
        <v>22</v>
      </c>
      <c r="F57" s="57" t="s">
        <v>187</v>
      </c>
      <c r="G57" s="57" t="s">
        <v>7</v>
      </c>
      <c r="H57" s="363" t="s">
        <v>459</v>
      </c>
      <c r="I57" s="254">
        <f t="shared" si="1"/>
        <v>4.3600000000000003</v>
      </c>
      <c r="J57" s="425"/>
    </row>
    <row r="58" spans="1:10" x14ac:dyDescent="0.2">
      <c r="A58" s="102" t="s">
        <v>435</v>
      </c>
      <c r="B58" s="69" t="s">
        <v>220</v>
      </c>
      <c r="C58" s="55">
        <v>36</v>
      </c>
      <c r="D58" s="56">
        <f t="shared" si="0"/>
        <v>5.3940665268204973E-3</v>
      </c>
      <c r="E58" s="57" t="s">
        <v>39</v>
      </c>
      <c r="F58" s="57" t="s">
        <v>187</v>
      </c>
      <c r="G58" s="57" t="s">
        <v>7</v>
      </c>
      <c r="H58" s="363" t="s">
        <v>459</v>
      </c>
      <c r="I58" s="254">
        <f t="shared" si="1"/>
        <v>1.44</v>
      </c>
      <c r="J58" s="425"/>
    </row>
    <row r="59" spans="1:10" x14ac:dyDescent="0.2">
      <c r="A59" s="102" t="s">
        <v>435</v>
      </c>
      <c r="B59" s="69" t="s">
        <v>223</v>
      </c>
      <c r="C59" s="55">
        <v>4</v>
      </c>
      <c r="D59" s="56">
        <f t="shared" si="0"/>
        <v>5.9934072520227753E-4</v>
      </c>
      <c r="E59" s="57" t="s">
        <v>4</v>
      </c>
      <c r="F59" s="57" t="s">
        <v>187</v>
      </c>
      <c r="G59" s="57" t="s">
        <v>7</v>
      </c>
      <c r="H59" s="363" t="s">
        <v>459</v>
      </c>
      <c r="I59" s="254">
        <f t="shared" si="1"/>
        <v>0.16</v>
      </c>
      <c r="J59" s="425"/>
    </row>
    <row r="60" spans="1:10" x14ac:dyDescent="0.2">
      <c r="A60" s="102" t="s">
        <v>435</v>
      </c>
      <c r="B60" s="69" t="s">
        <v>228</v>
      </c>
      <c r="C60" s="55">
        <v>8</v>
      </c>
      <c r="D60" s="56">
        <f t="shared" si="0"/>
        <v>1.1986814504045551E-3</v>
      </c>
      <c r="E60" s="57" t="s">
        <v>641</v>
      </c>
      <c r="F60" s="57" t="s">
        <v>187</v>
      </c>
      <c r="G60" s="57" t="s">
        <v>7</v>
      </c>
      <c r="H60" s="363" t="s">
        <v>459</v>
      </c>
      <c r="I60" s="254">
        <f t="shared" si="1"/>
        <v>0.32</v>
      </c>
      <c r="J60" s="425"/>
    </row>
    <row r="61" spans="1:10" x14ac:dyDescent="0.2">
      <c r="A61" s="102" t="s">
        <v>435</v>
      </c>
      <c r="B61" s="69" t="s">
        <v>229</v>
      </c>
      <c r="C61" s="55">
        <v>34</v>
      </c>
      <c r="D61" s="56">
        <f t="shared" ref="D61" si="9">C61/$C$1</f>
        <v>5.0943961642193588E-3</v>
      </c>
      <c r="E61" s="57" t="s">
        <v>230</v>
      </c>
      <c r="F61" s="57" t="s">
        <v>187</v>
      </c>
      <c r="G61" s="57" t="s">
        <v>7</v>
      </c>
      <c r="H61" s="363" t="s">
        <v>459</v>
      </c>
      <c r="I61" s="254">
        <f t="shared" si="1"/>
        <v>1.36</v>
      </c>
      <c r="J61" s="425"/>
    </row>
    <row r="62" spans="1:10" x14ac:dyDescent="0.2">
      <c r="A62" s="102" t="s">
        <v>435</v>
      </c>
      <c r="B62" s="69" t="s">
        <v>224</v>
      </c>
      <c r="C62" s="55">
        <v>76</v>
      </c>
      <c r="D62" s="56">
        <f t="shared" si="0"/>
        <v>1.1387473778843273E-2</v>
      </c>
      <c r="E62" s="57" t="s">
        <v>93</v>
      </c>
      <c r="F62" s="57" t="s">
        <v>187</v>
      </c>
      <c r="G62" s="57" t="s">
        <v>7</v>
      </c>
      <c r="H62" s="363" t="s">
        <v>459</v>
      </c>
      <c r="I62" s="254">
        <f t="shared" si="1"/>
        <v>3.04</v>
      </c>
      <c r="J62" s="425"/>
    </row>
    <row r="63" spans="1:10" x14ac:dyDescent="0.2">
      <c r="A63" s="102" t="s">
        <v>435</v>
      </c>
      <c r="B63" s="69" t="s">
        <v>225</v>
      </c>
      <c r="C63" s="55">
        <v>33</v>
      </c>
      <c r="D63" s="56">
        <f t="shared" si="0"/>
        <v>4.9445609829187895E-3</v>
      </c>
      <c r="E63" s="57" t="s">
        <v>91</v>
      </c>
      <c r="F63" s="57" t="s">
        <v>187</v>
      </c>
      <c r="G63" s="57" t="s">
        <v>7</v>
      </c>
      <c r="H63" s="363" t="s">
        <v>459</v>
      </c>
      <c r="I63" s="254">
        <f t="shared" si="1"/>
        <v>1.32</v>
      </c>
      <c r="J63" s="425"/>
    </row>
    <row r="64" spans="1:10" x14ac:dyDescent="0.2">
      <c r="A64" s="102" t="s">
        <v>435</v>
      </c>
      <c r="B64" s="69" t="s">
        <v>222</v>
      </c>
      <c r="C64" s="55">
        <v>26</v>
      </c>
      <c r="D64" s="56">
        <f t="shared" si="0"/>
        <v>3.8957147138148039E-3</v>
      </c>
      <c r="E64" s="57" t="s">
        <v>687</v>
      </c>
      <c r="F64" s="57" t="s">
        <v>187</v>
      </c>
      <c r="G64" s="57" t="s">
        <v>6</v>
      </c>
      <c r="H64" s="356" t="s">
        <v>459</v>
      </c>
      <c r="I64" s="254">
        <f t="shared" si="1"/>
        <v>1.04</v>
      </c>
      <c r="J64" s="425"/>
    </row>
    <row r="65" spans="1:11" ht="17" thickBot="1" x14ac:dyDescent="0.25">
      <c r="A65" s="103" t="s">
        <v>435</v>
      </c>
      <c r="B65" s="48" t="s">
        <v>221</v>
      </c>
      <c r="C65" s="32">
        <v>45</v>
      </c>
      <c r="D65" s="33">
        <f t="shared" si="0"/>
        <v>6.7425831585256222E-3</v>
      </c>
      <c r="E65" s="34" t="s">
        <v>616</v>
      </c>
      <c r="F65" s="34" t="s">
        <v>187</v>
      </c>
      <c r="G65" s="34" t="s">
        <v>7</v>
      </c>
      <c r="H65" s="357" t="s">
        <v>459</v>
      </c>
      <c r="I65" s="255">
        <f t="shared" si="1"/>
        <v>1.8</v>
      </c>
      <c r="J65" s="426"/>
    </row>
    <row r="66" spans="1:11" ht="17" thickBot="1" x14ac:dyDescent="0.25">
      <c r="A66" s="1"/>
      <c r="B66" s="1"/>
      <c r="C66" s="6"/>
      <c r="D66" s="13"/>
      <c r="E66" s="5"/>
      <c r="F66" s="5"/>
      <c r="G66" s="5"/>
      <c r="H66" s="5"/>
      <c r="J66" t="s">
        <v>129</v>
      </c>
    </row>
    <row r="67" spans="1:11" x14ac:dyDescent="0.2">
      <c r="A67" s="416" t="s">
        <v>667</v>
      </c>
      <c r="B67" s="417"/>
      <c r="C67" s="417"/>
      <c r="D67" s="417"/>
      <c r="E67" s="418"/>
      <c r="F67" s="81"/>
      <c r="G67" s="81"/>
      <c r="H67" s="81"/>
      <c r="I67" s="109"/>
      <c r="J67" s="111"/>
      <c r="K67" s="143"/>
    </row>
    <row r="68" spans="1:11" x14ac:dyDescent="0.2">
      <c r="A68" s="213" t="s">
        <v>613</v>
      </c>
      <c r="B68" s="208" t="s">
        <v>614</v>
      </c>
      <c r="C68" s="209"/>
      <c r="D68" s="214" t="s">
        <v>617</v>
      </c>
      <c r="E68" s="215"/>
      <c r="F68" s="81"/>
      <c r="G68" s="81"/>
      <c r="H68" s="81"/>
      <c r="I68" s="109"/>
      <c r="J68" s="111"/>
      <c r="K68" s="143"/>
    </row>
    <row r="69" spans="1:11" x14ac:dyDescent="0.2">
      <c r="A69" s="79" t="str">
        <f>A4</f>
        <v>MCS</v>
      </c>
      <c r="B69" s="14">
        <f>SUMIF($A$4:$A$65,A69,$C$4:$C$65)</f>
        <v>2856</v>
      </c>
      <c r="C69" s="75">
        <f t="shared" ref="C69:C79" si="10">B69/$C$1</f>
        <v>0.42792927779442613</v>
      </c>
      <c r="D69" s="222">
        <f t="shared" ref="D69:D78" si="11">SUMIF($A$4:$A$65,A69,$I$4:$I$65)</f>
        <v>114.23999999999998</v>
      </c>
      <c r="E69" s="210">
        <f>D69/$E$1</f>
        <v>0.42792927779442608</v>
      </c>
      <c r="F69" s="81"/>
      <c r="G69" s="81"/>
      <c r="H69" s="81"/>
    </row>
    <row r="70" spans="1:11" x14ac:dyDescent="0.2">
      <c r="A70" s="79" t="str">
        <f>A8</f>
        <v>APU</v>
      </c>
      <c r="B70" s="14">
        <f t="shared" ref="B70:B78" si="12">SUMIF($A$4:$A$65,A70,$C$4:$C$65)</f>
        <v>1102</v>
      </c>
      <c r="C70" s="75">
        <f t="shared" si="10"/>
        <v>0.16511836979322744</v>
      </c>
      <c r="D70" s="222">
        <f t="shared" si="11"/>
        <v>44.08</v>
      </c>
      <c r="E70" s="210">
        <f t="shared" ref="E70:E79" si="13">D70/$E$1</f>
        <v>0.16511836979322744</v>
      </c>
      <c r="F70" s="81"/>
      <c r="G70" s="81"/>
      <c r="H70" s="81"/>
    </row>
    <row r="71" spans="1:11" x14ac:dyDescent="0.2">
      <c r="A71" s="79" t="str">
        <f>A16</f>
        <v>Vitafit</v>
      </c>
      <c r="B71" s="14">
        <f t="shared" si="12"/>
        <v>1035</v>
      </c>
      <c r="C71" s="75">
        <f t="shared" si="10"/>
        <v>0.15507941264608929</v>
      </c>
      <c r="D71" s="222">
        <f t="shared" si="11"/>
        <v>41.4</v>
      </c>
      <c r="E71" s="210">
        <f t="shared" si="13"/>
        <v>0.15507941264608932</v>
      </c>
      <c r="F71" s="81"/>
      <c r="G71" s="81"/>
      <c r="H71" s="81"/>
    </row>
    <row r="72" spans="1:11" x14ac:dyDescent="0.2">
      <c r="A72" s="79" t="str">
        <f>A24</f>
        <v>GN Beverages LLC</v>
      </c>
      <c r="B72" s="14">
        <f t="shared" si="12"/>
        <v>260</v>
      </c>
      <c r="C72" s="75">
        <f t="shared" si="10"/>
        <v>3.8957147138148039E-2</v>
      </c>
      <c r="D72" s="222">
        <f t="shared" si="11"/>
        <v>10.4</v>
      </c>
      <c r="E72" s="210">
        <f t="shared" si="13"/>
        <v>3.8957147138148039E-2</v>
      </c>
      <c r="F72" s="81"/>
      <c r="G72" s="81"/>
      <c r="H72" s="81"/>
    </row>
    <row r="73" spans="1:11" x14ac:dyDescent="0.2">
      <c r="A73" s="79" t="str">
        <f>A25</f>
        <v>MGL aqua LLC</v>
      </c>
      <c r="B73" s="14">
        <f t="shared" si="12"/>
        <v>120</v>
      </c>
      <c r="C73" s="75">
        <f>B73/$C$1</f>
        <v>1.7980221756068324E-2</v>
      </c>
      <c r="D73" s="222">
        <f t="shared" si="11"/>
        <v>4.8</v>
      </c>
      <c r="E73" s="210">
        <f t="shared" si="13"/>
        <v>1.7980221756068327E-2</v>
      </c>
      <c r="F73" s="81"/>
      <c r="G73" s="81"/>
      <c r="H73" s="81"/>
    </row>
    <row r="74" spans="1:11" x14ac:dyDescent="0.2">
      <c r="A74" s="79" t="str">
        <f>A26</f>
        <v>Lucha LLC</v>
      </c>
      <c r="B74" s="14">
        <f t="shared" si="12"/>
        <v>119</v>
      </c>
      <c r="C74" s="75">
        <f t="shared" si="10"/>
        <v>1.7830386574767754E-2</v>
      </c>
      <c r="D74" s="222">
        <f t="shared" si="11"/>
        <v>4.76</v>
      </c>
      <c r="E74" s="210">
        <f t="shared" si="13"/>
        <v>1.7830386574767754E-2</v>
      </c>
      <c r="F74" s="81"/>
      <c r="G74" s="81"/>
      <c r="H74" s="81"/>
    </row>
    <row r="75" spans="1:11" x14ac:dyDescent="0.2">
      <c r="A75" s="79" t="str">
        <f>A27</f>
        <v>Altanboshgo LLC</v>
      </c>
      <c r="B75" s="14">
        <f t="shared" si="12"/>
        <v>83</v>
      </c>
      <c r="C75" s="75">
        <f>B75/$C$1</f>
        <v>1.2436320047947258E-2</v>
      </c>
      <c r="D75" s="222">
        <f t="shared" si="11"/>
        <v>3.32</v>
      </c>
      <c r="E75" s="210">
        <f t="shared" si="13"/>
        <v>1.2436320047947258E-2</v>
      </c>
      <c r="F75" s="81"/>
      <c r="G75" s="81"/>
      <c r="H75" s="81"/>
    </row>
    <row r="76" spans="1:11" x14ac:dyDescent="0.2">
      <c r="A76" s="79" t="str">
        <f>A29</f>
        <v>Monjuice LLC</v>
      </c>
      <c r="B76" s="14">
        <f t="shared" si="12"/>
        <v>82</v>
      </c>
      <c r="C76" s="75">
        <f>B76/$C$1</f>
        <v>1.2286484866646689E-2</v>
      </c>
      <c r="D76" s="222">
        <f t="shared" si="11"/>
        <v>3.28</v>
      </c>
      <c r="E76" s="210">
        <f t="shared" si="13"/>
        <v>1.2286484866646689E-2</v>
      </c>
      <c r="F76" s="81"/>
      <c r="G76" s="81"/>
      <c r="H76" s="81"/>
    </row>
    <row r="77" spans="1:11" x14ac:dyDescent="0.2">
      <c r="A77" s="79" t="str">
        <f>A28</f>
        <v>Monos Group LLC</v>
      </c>
      <c r="B77" s="14">
        <f t="shared" si="12"/>
        <v>75</v>
      </c>
      <c r="C77" s="75">
        <f>B77/$C$1</f>
        <v>1.1237638597542702E-2</v>
      </c>
      <c r="D77" s="222">
        <f t="shared" si="11"/>
        <v>3</v>
      </c>
      <c r="E77" s="210">
        <f t="shared" si="13"/>
        <v>1.1237638597542704E-2</v>
      </c>
      <c r="F77" s="81"/>
      <c r="G77" s="81"/>
      <c r="H77" s="81"/>
    </row>
    <row r="78" spans="1:11" x14ac:dyDescent="0.2">
      <c r="A78" s="79" t="str">
        <f>A23</f>
        <v>GEM</v>
      </c>
      <c r="B78" s="14">
        <f t="shared" si="12"/>
        <v>67</v>
      </c>
      <c r="C78" s="75">
        <f>B78/$C$1</f>
        <v>1.0038957147138148E-2</v>
      </c>
      <c r="D78" s="222">
        <f t="shared" si="11"/>
        <v>2.68</v>
      </c>
      <c r="E78" s="210">
        <f t="shared" si="13"/>
        <v>1.003895714713815E-2</v>
      </c>
      <c r="F78" s="81"/>
      <c r="G78" s="81"/>
      <c r="H78" s="81"/>
    </row>
    <row r="79" spans="1:11" ht="17" thickBot="1" x14ac:dyDescent="0.25">
      <c r="A79" s="211" t="s">
        <v>435</v>
      </c>
      <c r="B79" s="31">
        <f>SUM(C30:C65)</f>
        <v>875</v>
      </c>
      <c r="C79" s="85">
        <f t="shared" si="10"/>
        <v>0.13110578363799821</v>
      </c>
      <c r="D79" s="223">
        <f>SUM(I30:I65)</f>
        <v>34.999999999999993</v>
      </c>
      <c r="E79" s="212">
        <f t="shared" si="13"/>
        <v>0.13110578363799819</v>
      </c>
      <c r="F79" s="81"/>
      <c r="G79" s="81"/>
      <c r="H79" s="81"/>
    </row>
    <row r="80" spans="1:11" x14ac:dyDescent="0.2">
      <c r="A80" s="10"/>
      <c r="B80" s="261">
        <f>SUM(B69:B79)-$C$1</f>
        <v>0</v>
      </c>
      <c r="C80" s="6"/>
      <c r="D80" s="261">
        <f>SUM(D69:D79)-E1</f>
        <v>0</v>
      </c>
      <c r="E80" s="5"/>
      <c r="F80" s="5"/>
      <c r="G80" s="5"/>
      <c r="H80" s="5"/>
    </row>
    <row r="81" spans="1:11" x14ac:dyDescent="0.2">
      <c r="A81" s="10"/>
      <c r="B81" s="261"/>
      <c r="C81" s="6"/>
      <c r="D81" s="261"/>
      <c r="E81" s="5"/>
      <c r="F81" s="5"/>
      <c r="G81" s="5"/>
      <c r="H81" s="5"/>
    </row>
    <row r="82" spans="1:11" x14ac:dyDescent="0.2">
      <c r="A82" s="10"/>
      <c r="B82" s="261"/>
      <c r="C82" s="6"/>
      <c r="D82" s="261"/>
      <c r="E82" s="5"/>
      <c r="F82" s="5"/>
      <c r="G82" s="5"/>
      <c r="H82" s="5"/>
    </row>
    <row r="83" spans="1:11" x14ac:dyDescent="0.2">
      <c r="A83" s="10"/>
      <c r="B83" s="261"/>
      <c r="C83" s="6"/>
      <c r="D83" s="261"/>
      <c r="E83" s="5"/>
      <c r="F83" s="5"/>
      <c r="G83" s="5"/>
      <c r="H83" s="5"/>
    </row>
    <row r="84" spans="1:11" ht="17" thickBot="1" x14ac:dyDescent="0.25">
      <c r="A84" s="1"/>
      <c r="B84" s="1"/>
      <c r="C84" s="6"/>
      <c r="D84" s="6"/>
      <c r="E84" s="5"/>
      <c r="F84" s="5"/>
      <c r="G84" s="5"/>
      <c r="H84" s="5"/>
    </row>
    <row r="85" spans="1:11" x14ac:dyDescent="0.2">
      <c r="A85" s="413" t="s">
        <v>126</v>
      </c>
      <c r="B85" s="414"/>
      <c r="C85" s="414"/>
      <c r="D85" s="414"/>
      <c r="E85" s="415"/>
      <c r="F85" s="81"/>
      <c r="G85" s="81"/>
      <c r="H85" s="81"/>
      <c r="I85" s="109"/>
      <c r="J85" s="111"/>
      <c r="K85" s="143"/>
    </row>
    <row r="86" spans="1:11" x14ac:dyDescent="0.2">
      <c r="A86" s="213" t="s">
        <v>1</v>
      </c>
      <c r="B86" s="208" t="s">
        <v>614</v>
      </c>
      <c r="C86" s="209"/>
      <c r="D86" s="214" t="s">
        <v>617</v>
      </c>
      <c r="E86" s="215"/>
      <c r="F86" s="81"/>
      <c r="G86" s="81"/>
      <c r="H86" s="81"/>
      <c r="I86" s="109"/>
      <c r="J86" s="111"/>
      <c r="K86" s="143"/>
    </row>
    <row r="87" spans="1:11" x14ac:dyDescent="0.2">
      <c r="A87" s="79" t="s">
        <v>22</v>
      </c>
      <c r="B87" s="14">
        <f t="shared" ref="B87:B98" si="14">SUMIF($E$4:$E$65,A87,$C$4:$C$65)</f>
        <v>3334</v>
      </c>
      <c r="C87" s="75">
        <f t="shared" ref="C87:C98" si="15">B87/$C$1</f>
        <v>0.49955049445609828</v>
      </c>
      <c r="D87" s="222">
        <f t="shared" ref="D87:D98" si="16">SUMIF($E$4:$E$65,A87,$I$4:$I$65)</f>
        <v>133.36000000000001</v>
      </c>
      <c r="E87" s="210">
        <f>D87/$E$1</f>
        <v>0.49955049445609839</v>
      </c>
      <c r="F87" s="81"/>
      <c r="G87" s="81"/>
      <c r="H87" s="81"/>
    </row>
    <row r="88" spans="1:11" x14ac:dyDescent="0.2">
      <c r="A88" s="79" t="s">
        <v>39</v>
      </c>
      <c r="B88" s="14">
        <f t="shared" si="14"/>
        <v>1265</v>
      </c>
      <c r="C88" s="75">
        <f>B88/$C$1</f>
        <v>0.18954150434522027</v>
      </c>
      <c r="D88" s="222">
        <f t="shared" si="16"/>
        <v>50.599999999999994</v>
      </c>
      <c r="E88" s="210">
        <f>D88/$E$1</f>
        <v>0.18954150434522024</v>
      </c>
      <c r="F88" s="81"/>
      <c r="G88" s="81"/>
      <c r="H88" s="81"/>
    </row>
    <row r="89" spans="1:11" x14ac:dyDescent="0.2">
      <c r="A89" s="79" t="s">
        <v>4</v>
      </c>
      <c r="B89" s="14">
        <f t="shared" si="14"/>
        <v>913</v>
      </c>
      <c r="C89" s="75">
        <f t="shared" si="15"/>
        <v>0.13679952052741984</v>
      </c>
      <c r="D89" s="222">
        <f t="shared" si="16"/>
        <v>36.519999999999996</v>
      </c>
      <c r="E89" s="210">
        <f t="shared" ref="E89:E98" si="17">D89/$E$1</f>
        <v>0.13679952052741984</v>
      </c>
      <c r="F89" s="81"/>
      <c r="G89" s="81"/>
      <c r="H89" s="81"/>
    </row>
    <row r="90" spans="1:11" x14ac:dyDescent="0.2">
      <c r="A90" s="79" t="s">
        <v>91</v>
      </c>
      <c r="B90" s="14">
        <f t="shared" si="14"/>
        <v>658</v>
      </c>
      <c r="C90" s="75">
        <f t="shared" si="15"/>
        <v>9.8591549295774641E-2</v>
      </c>
      <c r="D90" s="222">
        <f t="shared" si="16"/>
        <v>26.319999999999997</v>
      </c>
      <c r="E90" s="210">
        <f t="shared" si="17"/>
        <v>9.8591549295774641E-2</v>
      </c>
      <c r="F90" s="81"/>
      <c r="G90" s="81"/>
      <c r="H90" s="81"/>
    </row>
    <row r="91" spans="1:11" x14ac:dyDescent="0.2">
      <c r="A91" s="79" t="s">
        <v>93</v>
      </c>
      <c r="B91" s="14">
        <f t="shared" si="14"/>
        <v>233</v>
      </c>
      <c r="C91" s="75">
        <f t="shared" si="15"/>
        <v>3.4911597243032666E-2</v>
      </c>
      <c r="D91" s="222">
        <f t="shared" si="16"/>
        <v>9.32</v>
      </c>
      <c r="E91" s="210">
        <f t="shared" si="17"/>
        <v>3.4911597243032666E-2</v>
      </c>
      <c r="F91" s="81"/>
      <c r="G91" s="81"/>
      <c r="H91" s="81"/>
    </row>
    <row r="92" spans="1:11" x14ac:dyDescent="0.2">
      <c r="A92" s="79" t="s">
        <v>105</v>
      </c>
      <c r="B92" s="14">
        <f t="shared" si="14"/>
        <v>83</v>
      </c>
      <c r="C92" s="75">
        <f>B92/$C$1</f>
        <v>1.2436320047947258E-2</v>
      </c>
      <c r="D92" s="222">
        <f t="shared" si="16"/>
        <v>3.32</v>
      </c>
      <c r="E92" s="210">
        <f>D92/$E$1</f>
        <v>1.2436320047947258E-2</v>
      </c>
      <c r="F92" s="81"/>
      <c r="G92" s="81"/>
      <c r="H92" s="81"/>
    </row>
    <row r="93" spans="1:11" x14ac:dyDescent="0.2">
      <c r="A93" s="79" t="s">
        <v>616</v>
      </c>
      <c r="B93" s="14">
        <f t="shared" si="14"/>
        <v>62</v>
      </c>
      <c r="C93" s="75">
        <f>B93/$C$1</f>
        <v>9.2897812406353003E-3</v>
      </c>
      <c r="D93" s="222">
        <f t="shared" si="16"/>
        <v>2.48</v>
      </c>
      <c r="E93" s="210">
        <f>D93/$E$1</f>
        <v>9.289781240635302E-3</v>
      </c>
      <c r="F93" s="81"/>
      <c r="G93" s="81"/>
      <c r="H93" s="81"/>
    </row>
    <row r="94" spans="1:11" x14ac:dyDescent="0.2">
      <c r="A94" s="79" t="s">
        <v>230</v>
      </c>
      <c r="B94" s="14">
        <f t="shared" si="14"/>
        <v>42</v>
      </c>
      <c r="C94" s="75">
        <f t="shared" ref="C94" si="18">B94/$C$1</f>
        <v>6.2930776146239136E-3</v>
      </c>
      <c r="D94" s="222">
        <f t="shared" si="16"/>
        <v>1.6800000000000002</v>
      </c>
      <c r="E94" s="210">
        <f>D94/$E$1</f>
        <v>6.2930776146239145E-3</v>
      </c>
      <c r="F94" s="81"/>
      <c r="G94" s="81"/>
      <c r="H94" s="81"/>
    </row>
    <row r="95" spans="1:11" x14ac:dyDescent="0.2">
      <c r="A95" s="79" t="s">
        <v>687</v>
      </c>
      <c r="B95" s="14">
        <f t="shared" si="14"/>
        <v>26</v>
      </c>
      <c r="C95" s="75">
        <f>B95/$C$1</f>
        <v>3.8957147138148039E-3</v>
      </c>
      <c r="D95" s="222">
        <f t="shared" si="16"/>
        <v>1.04</v>
      </c>
      <c r="E95" s="210">
        <f>D95/$E$1</f>
        <v>3.8957147138148043E-3</v>
      </c>
      <c r="F95" s="81"/>
      <c r="G95" s="81"/>
      <c r="H95" s="81"/>
    </row>
    <row r="96" spans="1:11" x14ac:dyDescent="0.2">
      <c r="A96" s="79" t="s">
        <v>385</v>
      </c>
      <c r="B96" s="14">
        <f t="shared" si="14"/>
        <v>28</v>
      </c>
      <c r="C96" s="75">
        <f>B96/$C$1</f>
        <v>4.1953850764159424E-3</v>
      </c>
      <c r="D96" s="222">
        <f t="shared" si="16"/>
        <v>1.1200000000000001</v>
      </c>
      <c r="E96" s="210">
        <f>D96/$E$1</f>
        <v>4.1953850764159433E-3</v>
      </c>
      <c r="F96" s="81"/>
      <c r="G96" s="81"/>
      <c r="H96" s="81"/>
    </row>
    <row r="97" spans="1:11" x14ac:dyDescent="0.2">
      <c r="A97" s="79" t="s">
        <v>127</v>
      </c>
      <c r="B97" s="14">
        <f t="shared" si="14"/>
        <v>22</v>
      </c>
      <c r="C97" s="75">
        <f t="shared" si="15"/>
        <v>3.2963739886125261E-3</v>
      </c>
      <c r="D97" s="222">
        <f t="shared" si="16"/>
        <v>0.88</v>
      </c>
      <c r="E97" s="210">
        <f t="shared" si="17"/>
        <v>3.2963739886125265E-3</v>
      </c>
      <c r="F97" s="81"/>
      <c r="G97" s="81"/>
      <c r="H97" s="81"/>
    </row>
    <row r="98" spans="1:11" ht="17" thickBot="1" x14ac:dyDescent="0.25">
      <c r="A98" s="84" t="s">
        <v>641</v>
      </c>
      <c r="B98" s="31">
        <f t="shared" si="14"/>
        <v>8</v>
      </c>
      <c r="C98" s="85">
        <f t="shared" si="15"/>
        <v>1.1986814504045551E-3</v>
      </c>
      <c r="D98" s="223">
        <f t="shared" si="16"/>
        <v>0.32</v>
      </c>
      <c r="E98" s="212">
        <f t="shared" si="17"/>
        <v>1.1986814504045551E-3</v>
      </c>
      <c r="F98" s="81"/>
      <c r="G98" s="81"/>
      <c r="H98" s="81"/>
    </row>
    <row r="99" spans="1:11" x14ac:dyDescent="0.2">
      <c r="A99" s="216"/>
      <c r="B99" s="77">
        <f>SUM(B87:B98)-$C$1</f>
        <v>0</v>
      </c>
      <c r="C99" s="82"/>
      <c r="D99" s="261">
        <f>SUM(D87:D98)-E1</f>
        <v>0</v>
      </c>
      <c r="E99" s="81"/>
      <c r="F99" s="81"/>
      <c r="G99" s="81"/>
      <c r="H99" s="81"/>
    </row>
    <row r="100" spans="1:11" x14ac:dyDescent="0.2">
      <c r="A100" s="216"/>
      <c r="B100" s="76"/>
      <c r="C100" s="82"/>
      <c r="D100" s="80"/>
      <c r="E100" s="81"/>
      <c r="F100" s="81"/>
      <c r="G100" s="81"/>
      <c r="H100" s="81"/>
    </row>
    <row r="101" spans="1:11" x14ac:dyDescent="0.2">
      <c r="A101" s="216"/>
      <c r="B101" s="76"/>
      <c r="C101" s="82"/>
      <c r="D101" s="80"/>
      <c r="E101" s="81"/>
      <c r="F101" s="81"/>
      <c r="G101" s="81"/>
      <c r="H101" s="81"/>
    </row>
    <row r="102" spans="1:11" x14ac:dyDescent="0.2">
      <c r="A102" s="216"/>
      <c r="B102" s="76"/>
      <c r="C102" s="82"/>
      <c r="D102" s="80"/>
      <c r="E102" s="81"/>
      <c r="F102" s="81"/>
      <c r="G102" s="81"/>
      <c r="H102" s="81"/>
    </row>
    <row r="103" spans="1:11" ht="17" thickBot="1" x14ac:dyDescent="0.25">
      <c r="A103" s="1"/>
      <c r="B103" s="1"/>
      <c r="C103" s="6"/>
      <c r="D103" s="6"/>
      <c r="E103" s="5"/>
      <c r="F103" s="5"/>
      <c r="G103" s="5"/>
      <c r="H103" s="5"/>
    </row>
    <row r="104" spans="1:11" x14ac:dyDescent="0.2">
      <c r="A104" s="413" t="s">
        <v>128</v>
      </c>
      <c r="B104" s="414"/>
      <c r="C104" s="414"/>
      <c r="D104" s="414"/>
      <c r="E104" s="415"/>
      <c r="F104" s="81"/>
      <c r="G104" s="81"/>
      <c r="H104" s="81"/>
      <c r="I104" s="109"/>
      <c r="J104" s="111"/>
      <c r="K104" s="143"/>
    </row>
    <row r="105" spans="1:11" x14ac:dyDescent="0.2">
      <c r="A105" s="213" t="s">
        <v>618</v>
      </c>
      <c r="B105" s="208" t="s">
        <v>614</v>
      </c>
      <c r="C105" s="209"/>
      <c r="D105" s="214" t="s">
        <v>617</v>
      </c>
      <c r="E105" s="215"/>
      <c r="F105" s="81"/>
      <c r="G105" s="81"/>
      <c r="H105" s="81"/>
      <c r="I105" s="109"/>
      <c r="J105" s="111"/>
      <c r="K105" s="143"/>
    </row>
    <row r="106" spans="1:11" x14ac:dyDescent="0.2">
      <c r="A106" s="79" t="s">
        <v>6</v>
      </c>
      <c r="B106" s="14">
        <f>SUMIF($G$4:$G$65,A106,$C$4:$C$65)</f>
        <v>5984</v>
      </c>
      <c r="C106" s="75">
        <f>B106/$C$1</f>
        <v>0.89661372490260716</v>
      </c>
      <c r="D106" s="222">
        <f>SUMIF($G$4:$G$65,A106,$I$4:$I$65)</f>
        <v>239.35999999999999</v>
      </c>
      <c r="E106" s="210">
        <f>D106/$E$1</f>
        <v>0.89661372490260716</v>
      </c>
      <c r="F106" s="81"/>
      <c r="G106" s="81"/>
      <c r="H106" s="81"/>
    </row>
    <row r="107" spans="1:11" ht="17" thickBot="1" x14ac:dyDescent="0.25">
      <c r="A107" s="84" t="s">
        <v>7</v>
      </c>
      <c r="B107" s="31">
        <f>SUMIF($G$4:$G$65,A107,$C$4:$C$65)</f>
        <v>690</v>
      </c>
      <c r="C107" s="85">
        <f>B107/$C$1</f>
        <v>0.10338627509739287</v>
      </c>
      <c r="D107" s="223">
        <f>SUMIF($G$4:$G$65,A107,$I$4:$I$65)</f>
        <v>27.6</v>
      </c>
      <c r="E107" s="212">
        <f>D107/$E$1</f>
        <v>0.10338627509739289</v>
      </c>
      <c r="F107" s="81"/>
      <c r="G107" s="81"/>
      <c r="H107" s="81"/>
    </row>
    <row r="108" spans="1:11" x14ac:dyDescent="0.2">
      <c r="A108" s="76"/>
      <c r="B108" s="262">
        <f>B106+B107-C1</f>
        <v>0</v>
      </c>
      <c r="C108" s="82"/>
      <c r="D108" s="262">
        <f>D106+D107-E1</f>
        <v>0</v>
      </c>
      <c r="E108" s="81"/>
      <c r="F108" s="81"/>
      <c r="G108" s="81"/>
      <c r="H108" s="81"/>
    </row>
    <row r="109" spans="1:11" x14ac:dyDescent="0.2">
      <c r="A109" s="82"/>
      <c r="B109" s="82"/>
      <c r="C109" s="80"/>
      <c r="D109" s="80"/>
      <c r="E109" s="81"/>
      <c r="F109" s="81"/>
      <c r="G109" s="81"/>
      <c r="H109" s="81"/>
    </row>
    <row r="110" spans="1:11" x14ac:dyDescent="0.2">
      <c r="A110" s="82"/>
      <c r="B110" s="82"/>
      <c r="C110" s="80"/>
      <c r="D110" s="80"/>
      <c r="E110" s="81"/>
      <c r="F110" s="81"/>
      <c r="G110" s="81"/>
      <c r="H110" s="81"/>
    </row>
    <row r="111" spans="1:11" x14ac:dyDescent="0.2">
      <c r="A111" s="82"/>
      <c r="B111" s="82"/>
      <c r="C111" s="80"/>
      <c r="D111" s="80"/>
      <c r="E111" s="81"/>
      <c r="F111" s="81"/>
      <c r="G111" s="81"/>
      <c r="H111" s="81"/>
    </row>
    <row r="112" spans="1:11" x14ac:dyDescent="0.2">
      <c r="A112" s="82"/>
      <c r="B112" s="82"/>
      <c r="C112" s="80"/>
      <c r="D112" s="80"/>
      <c r="E112" s="81"/>
      <c r="F112" s="81"/>
      <c r="G112" s="81"/>
      <c r="H112" s="81"/>
    </row>
    <row r="113" spans="1:9" x14ac:dyDescent="0.2">
      <c r="A113" s="82"/>
      <c r="B113" s="82"/>
      <c r="C113" s="80"/>
      <c r="D113" s="80"/>
      <c r="E113" s="81"/>
      <c r="F113" s="81"/>
      <c r="G113" s="81"/>
      <c r="H113" s="81"/>
    </row>
    <row r="114" spans="1:9" x14ac:dyDescent="0.2">
      <c r="A114" s="82"/>
      <c r="B114" s="82"/>
      <c r="C114" s="80"/>
      <c r="D114" s="80"/>
      <c r="E114" s="81"/>
      <c r="F114" s="81"/>
      <c r="G114" s="81"/>
      <c r="H114" s="81"/>
    </row>
    <row r="115" spans="1:9" x14ac:dyDescent="0.2">
      <c r="A115" s="82"/>
      <c r="B115" s="82"/>
      <c r="C115" s="80"/>
      <c r="D115" s="80"/>
      <c r="E115" s="81"/>
      <c r="F115" s="81"/>
      <c r="G115" s="81"/>
      <c r="H115" s="81"/>
    </row>
    <row r="116" spans="1:9" x14ac:dyDescent="0.2">
      <c r="A116" s="82"/>
      <c r="B116" s="82"/>
      <c r="C116" s="80"/>
      <c r="D116" s="80"/>
      <c r="E116" s="81"/>
      <c r="F116" s="81"/>
      <c r="G116" s="81"/>
      <c r="H116" s="81"/>
    </row>
    <row r="117" spans="1:9" x14ac:dyDescent="0.2">
      <c r="A117" s="82"/>
      <c r="B117" s="82"/>
      <c r="C117" s="80"/>
      <c r="D117" s="80"/>
      <c r="E117" s="81"/>
      <c r="F117" s="81"/>
      <c r="G117" s="81"/>
      <c r="H117" s="81"/>
    </row>
    <row r="118" spans="1:9" x14ac:dyDescent="0.2">
      <c r="A118" s="82"/>
      <c r="B118" s="82"/>
      <c r="C118" s="80"/>
      <c r="D118" s="80"/>
      <c r="E118" s="81"/>
      <c r="F118" s="81"/>
      <c r="G118" s="81"/>
      <c r="H118" s="81"/>
    </row>
    <row r="119" spans="1:9" x14ac:dyDescent="0.2">
      <c r="A119" s="82"/>
      <c r="B119" s="82"/>
      <c r="C119" s="80"/>
      <c r="D119" s="80"/>
      <c r="E119" s="81"/>
      <c r="F119" s="81"/>
      <c r="G119" s="81"/>
      <c r="H119" s="81"/>
    </row>
    <row r="120" spans="1:9" x14ac:dyDescent="0.2">
      <c r="A120" s="1"/>
      <c r="B120" s="1"/>
      <c r="C120" s="6"/>
      <c r="D120" s="6"/>
      <c r="E120" s="5"/>
      <c r="F120" s="5"/>
      <c r="G120" s="5"/>
      <c r="H120" s="5"/>
    </row>
    <row r="121" spans="1:9" x14ac:dyDescent="0.2">
      <c r="A121" s="1"/>
      <c r="B121" s="1"/>
      <c r="C121" s="6"/>
      <c r="D121" s="6"/>
      <c r="E121" s="5"/>
      <c r="F121" s="5"/>
      <c r="G121" s="5"/>
      <c r="H121" s="5"/>
    </row>
    <row r="122" spans="1:9" ht="17" thickBot="1" x14ac:dyDescent="0.25">
      <c r="A122" s="1"/>
      <c r="B122" s="1"/>
      <c r="C122" s="6"/>
      <c r="D122" s="6"/>
      <c r="E122" s="5"/>
      <c r="F122" s="5"/>
      <c r="G122" s="5"/>
      <c r="H122" s="5"/>
    </row>
    <row r="123" spans="1:9" x14ac:dyDescent="0.2">
      <c r="A123" s="416" t="s">
        <v>619</v>
      </c>
      <c r="B123" s="417"/>
      <c r="C123" s="417"/>
      <c r="D123" s="417"/>
      <c r="E123" s="418"/>
      <c r="F123" s="81"/>
      <c r="G123" s="81"/>
      <c r="H123" s="81"/>
      <c r="I123" s="109"/>
    </row>
    <row r="124" spans="1:9" x14ac:dyDescent="0.2">
      <c r="A124" s="213" t="s">
        <v>622</v>
      </c>
      <c r="B124" s="208" t="s">
        <v>614</v>
      </c>
      <c r="C124" s="209"/>
      <c r="D124" s="214" t="s">
        <v>617</v>
      </c>
      <c r="E124" s="215"/>
      <c r="F124" s="81"/>
      <c r="G124" s="81"/>
      <c r="H124" s="81"/>
      <c r="I124" s="109"/>
    </row>
    <row r="125" spans="1:9" x14ac:dyDescent="0.2">
      <c r="A125" s="79" t="s">
        <v>459</v>
      </c>
      <c r="B125" s="14">
        <f>SUMIF($H$4:$H$65,A125,$C$4:$C$65)</f>
        <v>6674</v>
      </c>
      <c r="C125" s="75">
        <f>B125/$C$1</f>
        <v>1</v>
      </c>
      <c r="D125" s="222">
        <f>SUMIF($H$4:$H$65,A125,$I$4:$I$65)</f>
        <v>266.96000000000004</v>
      </c>
      <c r="E125" s="210">
        <f>D125/$E$1</f>
        <v>1.0000000000000002</v>
      </c>
      <c r="F125" s="81"/>
      <c r="G125" s="81"/>
      <c r="H125" s="81"/>
    </row>
    <row r="126" spans="1:9" x14ac:dyDescent="0.2">
      <c r="A126" s="76"/>
      <c r="B126" s="262">
        <f>B125-C1</f>
        <v>0</v>
      </c>
      <c r="C126" s="82"/>
      <c r="D126" s="262">
        <f>D125-E1</f>
        <v>0</v>
      </c>
      <c r="E126" s="81"/>
      <c r="F126" s="81"/>
      <c r="G126" s="81"/>
      <c r="H126" s="81"/>
    </row>
    <row r="127" spans="1:9" x14ac:dyDescent="0.2">
      <c r="A127" s="82"/>
      <c r="B127" s="82"/>
      <c r="C127" s="80"/>
      <c r="D127" s="80"/>
      <c r="E127" s="81"/>
      <c r="F127" s="81"/>
      <c r="G127" s="81"/>
      <c r="H127" s="81"/>
    </row>
    <row r="128" spans="1:9" x14ac:dyDescent="0.2">
      <c r="A128" s="82"/>
      <c r="B128" s="82"/>
      <c r="C128" s="80"/>
      <c r="D128" s="80"/>
      <c r="E128" s="81"/>
      <c r="F128" s="81"/>
      <c r="G128" s="81"/>
      <c r="H128" s="81"/>
    </row>
    <row r="129" spans="1:8" x14ac:dyDescent="0.2">
      <c r="A129" s="82"/>
      <c r="B129" s="82"/>
      <c r="C129" s="80"/>
      <c r="D129" s="80"/>
      <c r="E129" s="81"/>
      <c r="F129" s="81"/>
      <c r="G129" s="81"/>
      <c r="H129" s="81"/>
    </row>
    <row r="130" spans="1:8" x14ac:dyDescent="0.2">
      <c r="A130" s="82"/>
      <c r="B130" s="82"/>
      <c r="C130" s="80"/>
      <c r="D130" s="80"/>
      <c r="E130" s="81"/>
      <c r="F130" s="81"/>
      <c r="G130" s="81"/>
      <c r="H130" s="81"/>
    </row>
    <row r="131" spans="1:8" x14ac:dyDescent="0.2">
      <c r="A131" s="82"/>
      <c r="B131" s="82"/>
      <c r="C131" s="80"/>
      <c r="D131" s="80"/>
      <c r="E131" s="81"/>
      <c r="F131" s="81"/>
      <c r="G131" s="81"/>
      <c r="H131" s="81"/>
    </row>
    <row r="132" spans="1:8" x14ac:dyDescent="0.2">
      <c r="A132" s="82"/>
      <c r="B132" s="82"/>
      <c r="C132" s="80"/>
      <c r="D132" s="80"/>
      <c r="E132" s="81"/>
      <c r="F132" s="81"/>
      <c r="G132" s="81"/>
      <c r="H132" s="81"/>
    </row>
    <row r="133" spans="1:8" x14ac:dyDescent="0.2">
      <c r="A133" s="82"/>
      <c r="B133" s="82"/>
      <c r="C133" s="80"/>
      <c r="D133" s="80"/>
      <c r="E133" s="81"/>
      <c r="F133" s="81"/>
      <c r="G133" s="81"/>
      <c r="H133" s="81"/>
    </row>
    <row r="134" spans="1:8" x14ac:dyDescent="0.2">
      <c r="A134" s="82"/>
      <c r="B134" s="82"/>
      <c r="C134" s="80"/>
      <c r="D134" s="80"/>
      <c r="E134" s="81"/>
      <c r="F134" s="81"/>
      <c r="G134" s="81"/>
      <c r="H134" s="81"/>
    </row>
    <row r="135" spans="1:8" x14ac:dyDescent="0.2">
      <c r="A135" s="82"/>
      <c r="B135" s="82"/>
      <c r="C135" s="80"/>
      <c r="D135" s="80"/>
      <c r="E135" s="81"/>
      <c r="F135" s="81"/>
      <c r="G135" s="81"/>
      <c r="H135" s="81"/>
    </row>
    <row r="136" spans="1:8" x14ac:dyDescent="0.2">
      <c r="A136" s="82"/>
      <c r="B136" s="82"/>
      <c r="C136" s="80"/>
      <c r="D136" s="80"/>
      <c r="E136" s="81"/>
      <c r="F136" s="81"/>
      <c r="G136" s="81"/>
      <c r="H136" s="81"/>
    </row>
    <row r="137" spans="1:8" x14ac:dyDescent="0.2">
      <c r="A137" s="82"/>
      <c r="B137" s="82"/>
      <c r="C137" s="80"/>
      <c r="D137" s="80"/>
      <c r="E137" s="81"/>
      <c r="F137" s="81"/>
      <c r="G137" s="81"/>
      <c r="H137" s="81"/>
    </row>
    <row r="138" spans="1:8" x14ac:dyDescent="0.2">
      <c r="A138" s="1"/>
      <c r="B138" s="1"/>
      <c r="C138" s="6"/>
      <c r="D138" s="6"/>
      <c r="E138" s="5"/>
      <c r="F138" s="5"/>
      <c r="G138" s="5"/>
      <c r="H138" s="5"/>
    </row>
    <row r="139" spans="1:8" x14ac:dyDescent="0.2">
      <c r="A139" s="1"/>
      <c r="B139" s="1"/>
      <c r="C139" s="6"/>
      <c r="D139" s="6"/>
      <c r="E139" s="5"/>
      <c r="F139" s="5"/>
      <c r="G139" s="5"/>
      <c r="H139" s="5"/>
    </row>
  </sheetData>
  <mergeCells count="7">
    <mergeCell ref="A123:E123"/>
    <mergeCell ref="C3:D3"/>
    <mergeCell ref="C1:D1"/>
    <mergeCell ref="A67:E67"/>
    <mergeCell ref="J4:J65"/>
    <mergeCell ref="A85:E85"/>
    <mergeCell ref="A104:E10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5237-B3DB-4E45-A37A-1F0354ACA120}">
  <sheetPr>
    <tabColor theme="4" tint="0.39997558519241921"/>
  </sheetPr>
  <dimension ref="A1:N210"/>
  <sheetViews>
    <sheetView zoomScaleNormal="100" workbookViewId="0"/>
  </sheetViews>
  <sheetFormatPr baseColWidth="10" defaultColWidth="10.6640625" defaultRowHeight="16" x14ac:dyDescent="0.2"/>
  <cols>
    <col min="1" max="1" width="26.33203125" customWidth="1"/>
    <col min="2" max="2" width="33.1640625" customWidth="1"/>
    <col min="3" max="4" width="7" style="2" customWidth="1"/>
    <col min="5" max="5" width="15.1640625" customWidth="1"/>
    <col min="6" max="6" width="11.83203125" customWidth="1"/>
    <col min="7" max="7" width="12" customWidth="1"/>
    <col min="8" max="8" width="18.83203125" customWidth="1"/>
    <col min="9" max="10" width="11.6640625" customWidth="1"/>
    <col min="12" max="12" width="4.6640625" customWidth="1"/>
  </cols>
  <sheetData>
    <row r="1" spans="1:14" s="4" customFormat="1" ht="34" x14ac:dyDescent="0.4">
      <c r="A1" s="3" t="s">
        <v>297</v>
      </c>
      <c r="C1" s="420">
        <f>SUM(C4:C103)</f>
        <v>1099</v>
      </c>
      <c r="D1" s="420"/>
      <c r="E1" s="108">
        <f>SUM(I4:I103)</f>
        <v>53.939999999999969</v>
      </c>
      <c r="F1" s="107" t="s">
        <v>236</v>
      </c>
      <c r="G1" s="112"/>
      <c r="H1" s="136"/>
      <c r="I1" s="155">
        <f>E1-SUM(K4:K103)</f>
        <v>0</v>
      </c>
    </row>
    <row r="2" spans="1:14" ht="17" thickBot="1" x14ac:dyDescent="0.25">
      <c r="D2" s="94"/>
    </row>
    <row r="3" spans="1:14" s="1" customFormat="1" ht="34" customHeight="1" thickBot="1" x14ac:dyDescent="0.25">
      <c r="A3" s="71" t="s">
        <v>20</v>
      </c>
      <c r="B3" s="72" t="s">
        <v>2</v>
      </c>
      <c r="C3" s="419" t="s">
        <v>3</v>
      </c>
      <c r="D3" s="419"/>
      <c r="E3" s="72" t="s">
        <v>1</v>
      </c>
      <c r="F3" s="72" t="s">
        <v>186</v>
      </c>
      <c r="G3" s="72" t="s">
        <v>5</v>
      </c>
      <c r="H3" s="72" t="s">
        <v>16</v>
      </c>
      <c r="I3" s="275" t="s">
        <v>367</v>
      </c>
      <c r="J3" s="139" t="s">
        <v>682</v>
      </c>
    </row>
    <row r="4" spans="1:14" x14ac:dyDescent="0.2">
      <c r="A4" s="22" t="s">
        <v>35</v>
      </c>
      <c r="B4" s="23" t="s">
        <v>169</v>
      </c>
      <c r="C4" s="24">
        <v>133</v>
      </c>
      <c r="D4" s="25">
        <f t="shared" ref="D4:D55" si="0">C4/$C$1</f>
        <v>0.12101910828025478</v>
      </c>
      <c r="E4" s="26" t="s">
        <v>385</v>
      </c>
      <c r="F4" s="26" t="s">
        <v>168</v>
      </c>
      <c r="G4" s="26" t="s">
        <v>6</v>
      </c>
      <c r="H4" s="26" t="s">
        <v>459</v>
      </c>
      <c r="I4" s="244">
        <f>C4*J4/1000</f>
        <v>7.3150000000000004</v>
      </c>
      <c r="J4" s="160">
        <v>55</v>
      </c>
      <c r="K4" s="143">
        <f>C4*J4/1000</f>
        <v>7.3150000000000004</v>
      </c>
    </row>
    <row r="5" spans="1:14" x14ac:dyDescent="0.2">
      <c r="A5" s="28" t="s">
        <v>35</v>
      </c>
      <c r="B5" s="14" t="s">
        <v>173</v>
      </c>
      <c r="C5" s="15">
        <v>1</v>
      </c>
      <c r="D5" s="20">
        <f t="shared" si="0"/>
        <v>9.099181073703367E-4</v>
      </c>
      <c r="E5" s="16" t="s">
        <v>385</v>
      </c>
      <c r="F5" s="16" t="s">
        <v>172</v>
      </c>
      <c r="G5" s="16" t="s">
        <v>6</v>
      </c>
      <c r="H5" s="89" t="s">
        <v>441</v>
      </c>
      <c r="I5" s="243">
        <f t="shared" ref="I5:I75" si="1">C5*J5/1000</f>
        <v>0.01</v>
      </c>
      <c r="J5" s="162">
        <v>10</v>
      </c>
      <c r="K5" s="143">
        <f t="shared" ref="K5:K73" si="2">C5*J5/1000</f>
        <v>0.01</v>
      </c>
    </row>
    <row r="6" spans="1:14" x14ac:dyDescent="0.2">
      <c r="A6" s="28" t="s">
        <v>35</v>
      </c>
      <c r="B6" s="14" t="s">
        <v>170</v>
      </c>
      <c r="C6" s="15">
        <v>24</v>
      </c>
      <c r="D6" s="20">
        <f t="shared" si="0"/>
        <v>2.1838034576888082E-2</v>
      </c>
      <c r="E6" s="16" t="s">
        <v>385</v>
      </c>
      <c r="F6" s="16" t="s">
        <v>171</v>
      </c>
      <c r="G6" s="16" t="s">
        <v>6</v>
      </c>
      <c r="H6" s="16" t="s">
        <v>459</v>
      </c>
      <c r="I6" s="243">
        <f t="shared" si="1"/>
        <v>0.96</v>
      </c>
      <c r="J6" s="162">
        <v>40</v>
      </c>
      <c r="K6" s="143">
        <f t="shared" si="2"/>
        <v>0.96</v>
      </c>
    </row>
    <row r="7" spans="1:14" x14ac:dyDescent="0.2">
      <c r="A7" s="28" t="s">
        <v>35</v>
      </c>
      <c r="B7" s="14" t="s">
        <v>170</v>
      </c>
      <c r="C7" s="15">
        <v>2</v>
      </c>
      <c r="D7" s="20">
        <f t="shared" si="0"/>
        <v>1.8198362147406734E-3</v>
      </c>
      <c r="E7" s="16" t="s">
        <v>385</v>
      </c>
      <c r="F7" s="16" t="s">
        <v>172</v>
      </c>
      <c r="G7" s="16" t="s">
        <v>6</v>
      </c>
      <c r="H7" s="89" t="s">
        <v>441</v>
      </c>
      <c r="I7" s="243">
        <f t="shared" si="1"/>
        <v>0.02</v>
      </c>
      <c r="J7" s="162">
        <v>10</v>
      </c>
      <c r="K7" s="143">
        <f t="shared" si="2"/>
        <v>0.02</v>
      </c>
    </row>
    <row r="8" spans="1:14" ht="17" thickBot="1" x14ac:dyDescent="0.25">
      <c r="A8" s="30" t="s">
        <v>35</v>
      </c>
      <c r="B8" s="31" t="s">
        <v>174</v>
      </c>
      <c r="C8" s="32">
        <v>3</v>
      </c>
      <c r="D8" s="33">
        <f t="shared" si="0"/>
        <v>2.7297543221110102E-3</v>
      </c>
      <c r="E8" s="34" t="s">
        <v>385</v>
      </c>
      <c r="F8" s="34" t="s">
        <v>171</v>
      </c>
      <c r="G8" s="34" t="s">
        <v>6</v>
      </c>
      <c r="H8" s="34" t="s">
        <v>459</v>
      </c>
      <c r="I8" s="245">
        <f t="shared" si="1"/>
        <v>0.12</v>
      </c>
      <c r="J8" s="172">
        <v>40</v>
      </c>
      <c r="K8" s="143">
        <f t="shared" si="2"/>
        <v>0.12</v>
      </c>
    </row>
    <row r="9" spans="1:14" x14ac:dyDescent="0.2">
      <c r="A9" s="105" t="s">
        <v>709</v>
      </c>
      <c r="B9" s="23" t="s">
        <v>241</v>
      </c>
      <c r="C9" s="24">
        <v>17</v>
      </c>
      <c r="D9" s="25">
        <f t="shared" ref="D9:D19" si="3">C9/$C$1</f>
        <v>1.5468607825295723E-2</v>
      </c>
      <c r="E9" s="26" t="s">
        <v>127</v>
      </c>
      <c r="F9" s="26" t="s">
        <v>168</v>
      </c>
      <c r="G9" s="26" t="s">
        <v>7</v>
      </c>
      <c r="H9" s="26" t="s">
        <v>459</v>
      </c>
      <c r="I9" s="244">
        <f t="shared" ref="I9:I19" si="4">C9*J9/1000</f>
        <v>0.93500000000000005</v>
      </c>
      <c r="J9" s="160">
        <v>55</v>
      </c>
      <c r="K9" s="143">
        <f t="shared" ref="K9:K19" si="5">C9*J9/1000</f>
        <v>0.93500000000000005</v>
      </c>
    </row>
    <row r="10" spans="1:14" x14ac:dyDescent="0.2">
      <c r="A10" s="188" t="s">
        <v>709</v>
      </c>
      <c r="B10" s="14" t="s">
        <v>234</v>
      </c>
      <c r="C10" s="15">
        <v>4</v>
      </c>
      <c r="D10" s="20">
        <f t="shared" si="3"/>
        <v>3.6396724294813468E-3</v>
      </c>
      <c r="E10" s="16" t="s">
        <v>230</v>
      </c>
      <c r="F10" s="16" t="s">
        <v>168</v>
      </c>
      <c r="G10" s="16" t="s">
        <v>7</v>
      </c>
      <c r="H10" s="16" t="s">
        <v>459</v>
      </c>
      <c r="I10" s="243">
        <f t="shared" si="4"/>
        <v>0.22</v>
      </c>
      <c r="J10" s="162">
        <v>55</v>
      </c>
      <c r="K10" s="143">
        <f t="shared" si="5"/>
        <v>0.22</v>
      </c>
    </row>
    <row r="11" spans="1:14" ht="17" thickBot="1" x14ac:dyDescent="0.25">
      <c r="A11" s="189" t="s">
        <v>709</v>
      </c>
      <c r="B11" s="31" t="s">
        <v>194</v>
      </c>
      <c r="C11" s="32">
        <v>6</v>
      </c>
      <c r="D11" s="33">
        <f t="shared" si="3"/>
        <v>5.4595086442220204E-3</v>
      </c>
      <c r="E11" s="34" t="s">
        <v>105</v>
      </c>
      <c r="F11" s="34" t="s">
        <v>168</v>
      </c>
      <c r="G11" s="34" t="s">
        <v>7</v>
      </c>
      <c r="H11" s="34" t="s">
        <v>459</v>
      </c>
      <c r="I11" s="245">
        <f t="shared" si="4"/>
        <v>0.33</v>
      </c>
      <c r="J11" s="273">
        <v>55</v>
      </c>
      <c r="K11" s="143">
        <f t="shared" si="5"/>
        <v>0.33</v>
      </c>
    </row>
    <row r="12" spans="1:14" x14ac:dyDescent="0.2">
      <c r="A12" s="22" t="s">
        <v>545</v>
      </c>
      <c r="B12" s="23" t="s">
        <v>244</v>
      </c>
      <c r="C12" s="24">
        <v>23</v>
      </c>
      <c r="D12" s="25">
        <f t="shared" si="3"/>
        <v>2.0928116469517744E-2</v>
      </c>
      <c r="E12" s="26" t="s">
        <v>385</v>
      </c>
      <c r="F12" s="26" t="s">
        <v>168</v>
      </c>
      <c r="G12" s="26" t="s">
        <v>7</v>
      </c>
      <c r="H12" s="26" t="s">
        <v>459</v>
      </c>
      <c r="I12" s="244">
        <f t="shared" si="4"/>
        <v>1.2649999999999999</v>
      </c>
      <c r="J12" s="132">
        <v>55</v>
      </c>
      <c r="K12" s="143">
        <f t="shared" si="5"/>
        <v>1.2649999999999999</v>
      </c>
    </row>
    <row r="13" spans="1:14" ht="17" thickBot="1" x14ac:dyDescent="0.25">
      <c r="A13" s="30" t="s">
        <v>545</v>
      </c>
      <c r="B13" s="31" t="s">
        <v>264</v>
      </c>
      <c r="C13" s="32">
        <v>1</v>
      </c>
      <c r="D13" s="33">
        <f t="shared" si="3"/>
        <v>9.099181073703367E-4</v>
      </c>
      <c r="E13" s="34" t="s">
        <v>230</v>
      </c>
      <c r="F13" s="34" t="s">
        <v>168</v>
      </c>
      <c r="G13" s="34" t="s">
        <v>7</v>
      </c>
      <c r="H13" s="34" t="s">
        <v>459</v>
      </c>
      <c r="I13" s="245">
        <f t="shared" si="4"/>
        <v>5.5E-2</v>
      </c>
      <c r="J13" s="273">
        <v>55</v>
      </c>
      <c r="K13" s="143">
        <f t="shared" si="5"/>
        <v>5.5E-2</v>
      </c>
    </row>
    <row r="14" spans="1:14" ht="17" thickBot="1" x14ac:dyDescent="0.25">
      <c r="A14" s="70" t="s">
        <v>42</v>
      </c>
      <c r="B14" s="36" t="s">
        <v>681</v>
      </c>
      <c r="C14" s="37">
        <v>20</v>
      </c>
      <c r="D14" s="38">
        <f t="shared" si="3"/>
        <v>1.8198362147406732E-2</v>
      </c>
      <c r="E14" s="39" t="s">
        <v>616</v>
      </c>
      <c r="F14" s="39" t="s">
        <v>171</v>
      </c>
      <c r="G14" s="39" t="s">
        <v>6</v>
      </c>
      <c r="H14" s="39" t="s">
        <v>459</v>
      </c>
      <c r="I14" s="286">
        <f t="shared" si="4"/>
        <v>0.18</v>
      </c>
      <c r="J14" s="274">
        <v>9</v>
      </c>
      <c r="K14" s="143">
        <f t="shared" si="5"/>
        <v>0.18</v>
      </c>
    </row>
    <row r="15" spans="1:14" x14ac:dyDescent="0.2">
      <c r="A15" s="22" t="s">
        <v>181</v>
      </c>
      <c r="B15" s="23" t="s">
        <v>200</v>
      </c>
      <c r="C15" s="24">
        <v>7</v>
      </c>
      <c r="D15" s="25">
        <f t="shared" si="3"/>
        <v>6.369426751592357E-3</v>
      </c>
      <c r="E15" s="26" t="s">
        <v>616</v>
      </c>
      <c r="F15" s="26" t="s">
        <v>171</v>
      </c>
      <c r="G15" s="26" t="s">
        <v>6</v>
      </c>
      <c r="H15" s="26" t="s">
        <v>459</v>
      </c>
      <c r="I15" s="244">
        <f t="shared" si="4"/>
        <v>0.28000000000000003</v>
      </c>
      <c r="J15" s="284">
        <v>40</v>
      </c>
      <c r="K15" s="143">
        <f t="shared" si="5"/>
        <v>0.28000000000000003</v>
      </c>
      <c r="N15" s="12"/>
    </row>
    <row r="16" spans="1:14" ht="17" thickBot="1" x14ac:dyDescent="0.25">
      <c r="A16" s="30" t="s">
        <v>181</v>
      </c>
      <c r="B16" s="31" t="s">
        <v>179</v>
      </c>
      <c r="C16" s="32">
        <v>10</v>
      </c>
      <c r="D16" s="33">
        <f t="shared" si="3"/>
        <v>9.0991810737033659E-3</v>
      </c>
      <c r="E16" s="34" t="s">
        <v>616</v>
      </c>
      <c r="F16" s="34" t="s">
        <v>168</v>
      </c>
      <c r="G16" s="34" t="s">
        <v>6</v>
      </c>
      <c r="H16" s="34" t="s">
        <v>459</v>
      </c>
      <c r="I16" s="245">
        <f t="shared" si="4"/>
        <v>0.7</v>
      </c>
      <c r="J16" s="172">
        <v>70</v>
      </c>
      <c r="K16" s="143">
        <f t="shared" si="5"/>
        <v>0.7</v>
      </c>
      <c r="N16" s="12"/>
    </row>
    <row r="17" spans="1:14" x14ac:dyDescent="0.2">
      <c r="A17" s="22" t="s">
        <v>427</v>
      </c>
      <c r="B17" s="23" t="s">
        <v>177</v>
      </c>
      <c r="C17" s="24">
        <v>8</v>
      </c>
      <c r="D17" s="25">
        <f t="shared" si="3"/>
        <v>7.2793448589626936E-3</v>
      </c>
      <c r="E17" s="26" t="s">
        <v>230</v>
      </c>
      <c r="F17" s="26" t="s">
        <v>168</v>
      </c>
      <c r="G17" s="26" t="s">
        <v>6</v>
      </c>
      <c r="H17" s="26" t="s">
        <v>459</v>
      </c>
      <c r="I17" s="244">
        <f t="shared" si="4"/>
        <v>0.44</v>
      </c>
      <c r="J17" s="132">
        <v>55</v>
      </c>
      <c r="K17" s="143">
        <f t="shared" si="5"/>
        <v>0.44</v>
      </c>
    </row>
    <row r="18" spans="1:14" ht="17" thickBot="1" x14ac:dyDescent="0.25">
      <c r="A18" s="30" t="s">
        <v>427</v>
      </c>
      <c r="B18" s="31" t="s">
        <v>262</v>
      </c>
      <c r="C18" s="32">
        <v>8</v>
      </c>
      <c r="D18" s="33">
        <f t="shared" si="3"/>
        <v>7.2793448589626936E-3</v>
      </c>
      <c r="E18" s="34" t="s">
        <v>105</v>
      </c>
      <c r="F18" s="34" t="s">
        <v>168</v>
      </c>
      <c r="G18" s="34" t="s">
        <v>6</v>
      </c>
      <c r="H18" s="34" t="s">
        <v>459</v>
      </c>
      <c r="I18" s="245">
        <f t="shared" si="4"/>
        <v>0.44</v>
      </c>
      <c r="J18" s="273">
        <v>55</v>
      </c>
      <c r="K18" s="143">
        <f t="shared" si="5"/>
        <v>0.44</v>
      </c>
    </row>
    <row r="19" spans="1:14" ht="17" thickBot="1" x14ac:dyDescent="0.25">
      <c r="A19" s="90" t="s">
        <v>703</v>
      </c>
      <c r="B19" s="23" t="s">
        <v>710</v>
      </c>
      <c r="C19" s="24">
        <v>16</v>
      </c>
      <c r="D19" s="25">
        <f t="shared" si="3"/>
        <v>1.4558689717925387E-2</v>
      </c>
      <c r="E19" s="186" t="s">
        <v>641</v>
      </c>
      <c r="F19" s="26" t="s">
        <v>168</v>
      </c>
      <c r="G19" s="26" t="s">
        <v>7</v>
      </c>
      <c r="H19" s="26" t="s">
        <v>459</v>
      </c>
      <c r="I19" s="244">
        <f t="shared" si="4"/>
        <v>1.92</v>
      </c>
      <c r="J19" s="132">
        <v>120</v>
      </c>
      <c r="K19" s="143">
        <f t="shared" si="5"/>
        <v>1.92</v>
      </c>
    </row>
    <row r="20" spans="1:14" ht="17" thickBot="1" x14ac:dyDescent="0.25">
      <c r="A20" s="41" t="s">
        <v>45</v>
      </c>
      <c r="B20" s="42" t="s">
        <v>712</v>
      </c>
      <c r="C20" s="43">
        <v>13</v>
      </c>
      <c r="D20" s="44">
        <f t="shared" si="0"/>
        <v>1.1828935395814377E-2</v>
      </c>
      <c r="E20" s="45" t="s">
        <v>385</v>
      </c>
      <c r="F20" s="45" t="s">
        <v>171</v>
      </c>
      <c r="G20" s="45" t="s">
        <v>6</v>
      </c>
      <c r="H20" s="45" t="s">
        <v>459</v>
      </c>
      <c r="I20" s="287">
        <f t="shared" si="1"/>
        <v>0.52</v>
      </c>
      <c r="J20" s="341">
        <v>40</v>
      </c>
      <c r="K20" s="143">
        <f t="shared" si="2"/>
        <v>0.52</v>
      </c>
    </row>
    <row r="21" spans="1:14" ht="17" thickBot="1" x14ac:dyDescent="0.25">
      <c r="A21" s="70" t="s">
        <v>702</v>
      </c>
      <c r="B21" s="36" t="s">
        <v>643</v>
      </c>
      <c r="C21" s="37">
        <v>13</v>
      </c>
      <c r="D21" s="38">
        <f>C21/$C$1</f>
        <v>1.1828935395814377E-2</v>
      </c>
      <c r="E21" s="345" t="s">
        <v>641</v>
      </c>
      <c r="F21" s="39" t="s">
        <v>168</v>
      </c>
      <c r="G21" s="39" t="s">
        <v>7</v>
      </c>
      <c r="H21" s="39" t="s">
        <v>459</v>
      </c>
      <c r="I21" s="286">
        <f>C21*J21/1000</f>
        <v>1.56</v>
      </c>
      <c r="J21" s="274">
        <v>120</v>
      </c>
      <c r="K21" s="143">
        <f>C21*J21/1000</f>
        <v>1.56</v>
      </c>
    </row>
    <row r="22" spans="1:14" x14ac:dyDescent="0.2">
      <c r="A22" s="22" t="s">
        <v>182</v>
      </c>
      <c r="B22" s="23" t="s">
        <v>201</v>
      </c>
      <c r="C22" s="24">
        <v>5</v>
      </c>
      <c r="D22" s="25">
        <f t="shared" si="0"/>
        <v>4.549590536851683E-3</v>
      </c>
      <c r="E22" s="26" t="s">
        <v>616</v>
      </c>
      <c r="F22" s="26" t="s">
        <v>171</v>
      </c>
      <c r="G22" s="26" t="s">
        <v>6</v>
      </c>
      <c r="H22" s="26" t="s">
        <v>459</v>
      </c>
      <c r="I22" s="244">
        <f t="shared" si="1"/>
        <v>0.2</v>
      </c>
      <c r="J22" s="160">
        <v>40</v>
      </c>
      <c r="K22" s="143">
        <f t="shared" si="2"/>
        <v>0.2</v>
      </c>
      <c r="N22" s="12"/>
    </row>
    <row r="23" spans="1:14" ht="17" thickBot="1" x14ac:dyDescent="0.25">
      <c r="A23" s="30" t="s">
        <v>182</v>
      </c>
      <c r="B23" s="31" t="s">
        <v>180</v>
      </c>
      <c r="C23" s="32">
        <v>7</v>
      </c>
      <c r="D23" s="33">
        <f t="shared" si="0"/>
        <v>6.369426751592357E-3</v>
      </c>
      <c r="E23" s="34" t="s">
        <v>616</v>
      </c>
      <c r="F23" s="34" t="s">
        <v>168</v>
      </c>
      <c r="G23" s="34" t="s">
        <v>6</v>
      </c>
      <c r="H23" s="34" t="s">
        <v>459</v>
      </c>
      <c r="I23" s="245">
        <f t="shared" si="1"/>
        <v>0.49</v>
      </c>
      <c r="J23" s="172">
        <v>70</v>
      </c>
      <c r="K23" s="143">
        <f t="shared" si="2"/>
        <v>0.49</v>
      </c>
      <c r="N23" s="12"/>
    </row>
    <row r="24" spans="1:14" ht="17" thickBot="1" x14ac:dyDescent="0.25">
      <c r="A24" s="35" t="s">
        <v>267</v>
      </c>
      <c r="B24" s="36" t="s">
        <v>266</v>
      </c>
      <c r="C24" s="37">
        <v>11</v>
      </c>
      <c r="D24" s="38">
        <f t="shared" ref="D24:D29" si="6">C24/$C$1</f>
        <v>1.0009099181073703E-2</v>
      </c>
      <c r="E24" s="39" t="s">
        <v>105</v>
      </c>
      <c r="F24" s="39" t="s">
        <v>168</v>
      </c>
      <c r="G24" s="39" t="s">
        <v>7</v>
      </c>
      <c r="H24" s="39" t="s">
        <v>459</v>
      </c>
      <c r="I24" s="286">
        <f t="shared" ref="I24:I29" si="7">C24*J24/1000</f>
        <v>0.60499999999999998</v>
      </c>
      <c r="J24" s="274">
        <v>55</v>
      </c>
      <c r="K24" s="143">
        <f t="shared" ref="K24:K29" si="8">C24*J24/1000</f>
        <v>0.60499999999999998</v>
      </c>
    </row>
    <row r="25" spans="1:14" x14ac:dyDescent="0.2">
      <c r="A25" s="252" t="s">
        <v>705</v>
      </c>
      <c r="B25" s="93" t="s">
        <v>255</v>
      </c>
      <c r="C25" s="55">
        <v>1</v>
      </c>
      <c r="D25" s="56">
        <f t="shared" si="6"/>
        <v>9.099181073703367E-4</v>
      </c>
      <c r="E25" s="57" t="s">
        <v>616</v>
      </c>
      <c r="F25" s="57" t="s">
        <v>171</v>
      </c>
      <c r="G25" s="57" t="s">
        <v>7</v>
      </c>
      <c r="H25" s="57" t="s">
        <v>459</v>
      </c>
      <c r="I25" s="247">
        <f t="shared" si="7"/>
        <v>0.04</v>
      </c>
      <c r="J25" s="281">
        <v>40</v>
      </c>
      <c r="K25" s="143">
        <f t="shared" si="8"/>
        <v>0.04</v>
      </c>
    </row>
    <row r="26" spans="1:14" ht="17" thickBot="1" x14ac:dyDescent="0.25">
      <c r="A26" s="343" t="s">
        <v>705</v>
      </c>
      <c r="B26" s="14" t="s">
        <v>711</v>
      </c>
      <c r="C26" s="15">
        <v>9</v>
      </c>
      <c r="D26" s="20">
        <f t="shared" si="6"/>
        <v>8.1892629663330302E-3</v>
      </c>
      <c r="E26" s="16" t="s">
        <v>230</v>
      </c>
      <c r="F26" s="16" t="s">
        <v>168</v>
      </c>
      <c r="G26" s="16" t="s">
        <v>7</v>
      </c>
      <c r="H26" s="16" t="s">
        <v>459</v>
      </c>
      <c r="I26" s="243">
        <f t="shared" si="7"/>
        <v>0.495</v>
      </c>
      <c r="J26" s="128">
        <v>55</v>
      </c>
      <c r="K26" s="143">
        <f t="shared" si="8"/>
        <v>0.495</v>
      </c>
    </row>
    <row r="27" spans="1:14" x14ac:dyDescent="0.2">
      <c r="A27" s="90" t="s">
        <v>88</v>
      </c>
      <c r="B27" s="23" t="s">
        <v>178</v>
      </c>
      <c r="C27" s="24">
        <v>4</v>
      </c>
      <c r="D27" s="25">
        <f t="shared" si="6"/>
        <v>3.6396724294813468E-3</v>
      </c>
      <c r="E27" s="26" t="s">
        <v>127</v>
      </c>
      <c r="F27" s="26" t="s">
        <v>168</v>
      </c>
      <c r="G27" s="26" t="s">
        <v>7</v>
      </c>
      <c r="H27" s="26" t="s">
        <v>459</v>
      </c>
      <c r="I27" s="244">
        <f t="shared" si="7"/>
        <v>0.22</v>
      </c>
      <c r="J27" s="132">
        <v>55</v>
      </c>
      <c r="K27" s="143">
        <f t="shared" si="8"/>
        <v>0.22</v>
      </c>
    </row>
    <row r="28" spans="1:14" x14ac:dyDescent="0.2">
      <c r="A28" s="343" t="s">
        <v>88</v>
      </c>
      <c r="B28" s="14" t="s">
        <v>263</v>
      </c>
      <c r="C28" s="15">
        <v>2</v>
      </c>
      <c r="D28" s="20">
        <f t="shared" si="6"/>
        <v>1.8198362147406734E-3</v>
      </c>
      <c r="E28" s="16" t="s">
        <v>230</v>
      </c>
      <c r="F28" s="16" t="s">
        <v>168</v>
      </c>
      <c r="G28" s="16" t="s">
        <v>7</v>
      </c>
      <c r="H28" s="16" t="s">
        <v>459</v>
      </c>
      <c r="I28" s="243">
        <f t="shared" si="7"/>
        <v>0.11</v>
      </c>
      <c r="J28" s="128">
        <v>55</v>
      </c>
      <c r="K28" s="143">
        <f t="shared" si="8"/>
        <v>0.11</v>
      </c>
    </row>
    <row r="29" spans="1:14" ht="17" thickBot="1" x14ac:dyDescent="0.25">
      <c r="A29" s="68" t="s">
        <v>88</v>
      </c>
      <c r="B29" s="31" t="s">
        <v>279</v>
      </c>
      <c r="C29" s="32">
        <v>4</v>
      </c>
      <c r="D29" s="33">
        <f t="shared" si="6"/>
        <v>3.6396724294813468E-3</v>
      </c>
      <c r="E29" s="34" t="s">
        <v>230</v>
      </c>
      <c r="F29" s="34" t="s">
        <v>168</v>
      </c>
      <c r="G29" s="34" t="s">
        <v>7</v>
      </c>
      <c r="H29" s="34" t="s">
        <v>459</v>
      </c>
      <c r="I29" s="245">
        <f t="shared" si="7"/>
        <v>0.22</v>
      </c>
      <c r="J29" s="273">
        <v>55</v>
      </c>
      <c r="K29" s="143">
        <f t="shared" si="8"/>
        <v>0.22</v>
      </c>
    </row>
    <row r="30" spans="1:14" ht="17" thickBot="1" x14ac:dyDescent="0.25">
      <c r="A30" s="35" t="s">
        <v>202</v>
      </c>
      <c r="B30" s="36" t="s">
        <v>203</v>
      </c>
      <c r="C30" s="37">
        <v>9</v>
      </c>
      <c r="D30" s="38">
        <f t="shared" ref="D30:D47" si="9">C30/$C$1</f>
        <v>8.1892629663330302E-3</v>
      </c>
      <c r="E30" s="39" t="s">
        <v>616</v>
      </c>
      <c r="F30" s="39" t="s">
        <v>171</v>
      </c>
      <c r="G30" s="39" t="s">
        <v>6</v>
      </c>
      <c r="H30" s="39" t="s">
        <v>459</v>
      </c>
      <c r="I30" s="286">
        <f t="shared" ref="I30:I47" si="10">C30*J30/1000</f>
        <v>0.36</v>
      </c>
      <c r="J30" s="274">
        <v>40</v>
      </c>
      <c r="K30" s="143">
        <f t="shared" si="2"/>
        <v>0.36</v>
      </c>
      <c r="N30" s="12"/>
    </row>
    <row r="31" spans="1:14" ht="17" thickBot="1" x14ac:dyDescent="0.25">
      <c r="A31" s="70" t="s">
        <v>83</v>
      </c>
      <c r="B31" s="36" t="s">
        <v>231</v>
      </c>
      <c r="C31" s="37">
        <v>7</v>
      </c>
      <c r="D31" s="38">
        <f t="shared" si="9"/>
        <v>6.369426751592357E-3</v>
      </c>
      <c r="E31" s="39" t="s">
        <v>616</v>
      </c>
      <c r="F31" s="39" t="s">
        <v>171</v>
      </c>
      <c r="G31" s="39" t="s">
        <v>7</v>
      </c>
      <c r="H31" s="39" t="s">
        <v>459</v>
      </c>
      <c r="I31" s="286">
        <f t="shared" si="10"/>
        <v>0.28000000000000003</v>
      </c>
      <c r="J31" s="40">
        <v>40</v>
      </c>
      <c r="K31" s="143">
        <f t="shared" si="2"/>
        <v>0.28000000000000003</v>
      </c>
      <c r="N31" s="12"/>
    </row>
    <row r="32" spans="1:14" ht="17" thickBot="1" x14ac:dyDescent="0.25">
      <c r="A32" s="251" t="s">
        <v>205</v>
      </c>
      <c r="B32" s="42" t="s">
        <v>206</v>
      </c>
      <c r="C32" s="43">
        <v>3</v>
      </c>
      <c r="D32" s="44">
        <f t="shared" si="9"/>
        <v>2.7297543221110102E-3</v>
      </c>
      <c r="E32" s="45" t="s">
        <v>616</v>
      </c>
      <c r="F32" s="45" t="s">
        <v>171</v>
      </c>
      <c r="G32" s="45" t="s">
        <v>7</v>
      </c>
      <c r="H32" s="45" t="s">
        <v>459</v>
      </c>
      <c r="I32" s="287">
        <f t="shared" si="10"/>
        <v>0.12</v>
      </c>
      <c r="J32" s="280">
        <v>40</v>
      </c>
      <c r="K32" s="143">
        <f t="shared" si="2"/>
        <v>0.12</v>
      </c>
      <c r="N32" s="111"/>
    </row>
    <row r="33" spans="1:11" ht="17" thickBot="1" x14ac:dyDescent="0.25">
      <c r="A33" s="70" t="s">
        <v>208</v>
      </c>
      <c r="B33" s="36" t="s">
        <v>209</v>
      </c>
      <c r="C33" s="37">
        <v>1</v>
      </c>
      <c r="D33" s="38">
        <f t="shared" si="9"/>
        <v>9.099181073703367E-4</v>
      </c>
      <c r="E33" s="39" t="s">
        <v>616</v>
      </c>
      <c r="F33" s="39" t="s">
        <v>171</v>
      </c>
      <c r="G33" s="39" t="s">
        <v>7</v>
      </c>
      <c r="H33" s="39" t="s">
        <v>459</v>
      </c>
      <c r="I33" s="286">
        <f t="shared" si="10"/>
        <v>0.04</v>
      </c>
      <c r="J33" s="274">
        <v>40</v>
      </c>
      <c r="K33" s="143">
        <f t="shared" si="2"/>
        <v>0.04</v>
      </c>
    </row>
    <row r="34" spans="1:11" ht="17" thickBot="1" x14ac:dyDescent="0.25">
      <c r="A34" s="182" t="s">
        <v>106</v>
      </c>
      <c r="B34" s="113" t="s">
        <v>242</v>
      </c>
      <c r="C34" s="114">
        <v>1</v>
      </c>
      <c r="D34" s="115">
        <f t="shared" si="9"/>
        <v>9.099181073703367E-4</v>
      </c>
      <c r="E34" s="101" t="s">
        <v>616</v>
      </c>
      <c r="F34" s="116" t="s">
        <v>171</v>
      </c>
      <c r="G34" s="116" t="s">
        <v>7</v>
      </c>
      <c r="H34" s="116" t="s">
        <v>459</v>
      </c>
      <c r="I34" s="248">
        <f t="shared" si="10"/>
        <v>0.04</v>
      </c>
      <c r="J34" s="285">
        <v>40</v>
      </c>
      <c r="K34" s="143">
        <f t="shared" si="2"/>
        <v>0.04</v>
      </c>
    </row>
    <row r="35" spans="1:11" ht="17" thickBot="1" x14ac:dyDescent="0.25">
      <c r="A35" s="35" t="s">
        <v>248</v>
      </c>
      <c r="B35" s="36" t="s">
        <v>247</v>
      </c>
      <c r="C35" s="37">
        <v>1</v>
      </c>
      <c r="D35" s="38">
        <f t="shared" si="9"/>
        <v>9.099181073703367E-4</v>
      </c>
      <c r="E35" s="39" t="s">
        <v>385</v>
      </c>
      <c r="F35" s="39" t="s">
        <v>171</v>
      </c>
      <c r="G35" s="39" t="s">
        <v>6</v>
      </c>
      <c r="H35" s="39" t="s">
        <v>459</v>
      </c>
      <c r="I35" s="286">
        <f t="shared" si="10"/>
        <v>0.04</v>
      </c>
      <c r="J35" s="274">
        <v>40</v>
      </c>
      <c r="K35" s="143">
        <f t="shared" si="2"/>
        <v>0.04</v>
      </c>
    </row>
    <row r="36" spans="1:11" ht="17" thickBot="1" x14ac:dyDescent="0.25">
      <c r="A36" s="249" t="s">
        <v>249</v>
      </c>
      <c r="B36" s="113" t="s">
        <v>250</v>
      </c>
      <c r="C36" s="114">
        <v>1</v>
      </c>
      <c r="D36" s="115">
        <f t="shared" si="9"/>
        <v>9.099181073703367E-4</v>
      </c>
      <c r="E36" s="116" t="s">
        <v>616</v>
      </c>
      <c r="F36" s="116" t="s">
        <v>171</v>
      </c>
      <c r="G36" s="116" t="s">
        <v>7</v>
      </c>
      <c r="H36" s="116" t="s">
        <v>459</v>
      </c>
      <c r="I36" s="248">
        <f t="shared" si="10"/>
        <v>0.04</v>
      </c>
      <c r="J36" s="285">
        <v>40</v>
      </c>
      <c r="K36" s="143">
        <f t="shared" si="2"/>
        <v>0.04</v>
      </c>
    </row>
    <row r="37" spans="1:11" ht="17" thickBot="1" x14ac:dyDescent="0.25">
      <c r="A37" s="35" t="s">
        <v>252</v>
      </c>
      <c r="B37" s="36" t="s">
        <v>253</v>
      </c>
      <c r="C37" s="37">
        <v>2</v>
      </c>
      <c r="D37" s="38">
        <f t="shared" si="9"/>
        <v>1.8198362147406734E-3</v>
      </c>
      <c r="E37" s="39" t="s">
        <v>616</v>
      </c>
      <c r="F37" s="39" t="s">
        <v>171</v>
      </c>
      <c r="G37" s="39" t="s">
        <v>7</v>
      </c>
      <c r="H37" s="39" t="s">
        <v>459</v>
      </c>
      <c r="I37" s="286">
        <f t="shared" si="10"/>
        <v>0.08</v>
      </c>
      <c r="J37" s="274">
        <v>40</v>
      </c>
      <c r="K37" s="143">
        <f t="shared" si="2"/>
        <v>0.08</v>
      </c>
    </row>
    <row r="38" spans="1:11" ht="17" thickBot="1" x14ac:dyDescent="0.25">
      <c r="A38" s="249" t="s">
        <v>257</v>
      </c>
      <c r="B38" s="113" t="s">
        <v>256</v>
      </c>
      <c r="C38" s="114">
        <v>1</v>
      </c>
      <c r="D38" s="115">
        <f t="shared" si="9"/>
        <v>9.099181073703367E-4</v>
      </c>
      <c r="E38" s="116" t="s">
        <v>616</v>
      </c>
      <c r="F38" s="116" t="s">
        <v>171</v>
      </c>
      <c r="G38" s="116" t="s">
        <v>6</v>
      </c>
      <c r="H38" s="116" t="s">
        <v>459</v>
      </c>
      <c r="I38" s="248">
        <f t="shared" si="10"/>
        <v>0.04</v>
      </c>
      <c r="J38" s="285">
        <v>40</v>
      </c>
      <c r="K38" s="143">
        <f t="shared" si="2"/>
        <v>0.04</v>
      </c>
    </row>
    <row r="39" spans="1:11" ht="17" thickBot="1" x14ac:dyDescent="0.25">
      <c r="A39" s="35" t="s">
        <v>259</v>
      </c>
      <c r="B39" s="36" t="s">
        <v>260</v>
      </c>
      <c r="C39" s="37">
        <v>2</v>
      </c>
      <c r="D39" s="38">
        <f t="shared" si="9"/>
        <v>1.8198362147406734E-3</v>
      </c>
      <c r="E39" s="39" t="s">
        <v>616</v>
      </c>
      <c r="F39" s="39" t="s">
        <v>171</v>
      </c>
      <c r="G39" s="39" t="s">
        <v>6</v>
      </c>
      <c r="H39" s="39" t="s">
        <v>459</v>
      </c>
      <c r="I39" s="286">
        <f t="shared" si="10"/>
        <v>0.08</v>
      </c>
      <c r="J39" s="274">
        <v>40</v>
      </c>
      <c r="K39" s="143">
        <f t="shared" si="2"/>
        <v>0.08</v>
      </c>
    </row>
    <row r="40" spans="1:11" ht="17" thickBot="1" x14ac:dyDescent="0.25">
      <c r="A40" s="35" t="s">
        <v>104</v>
      </c>
      <c r="B40" s="36" t="s">
        <v>124</v>
      </c>
      <c r="C40" s="37">
        <v>1</v>
      </c>
      <c r="D40" s="38">
        <f t="shared" si="9"/>
        <v>9.099181073703367E-4</v>
      </c>
      <c r="E40" s="39" t="s">
        <v>105</v>
      </c>
      <c r="F40" s="39" t="s">
        <v>168</v>
      </c>
      <c r="G40" s="39" t="s">
        <v>7</v>
      </c>
      <c r="H40" s="39" t="s">
        <v>459</v>
      </c>
      <c r="I40" s="286">
        <f t="shared" si="10"/>
        <v>5.5E-2</v>
      </c>
      <c r="J40" s="274">
        <v>55</v>
      </c>
      <c r="K40" s="143">
        <f t="shared" si="2"/>
        <v>5.5E-2</v>
      </c>
    </row>
    <row r="41" spans="1:11" ht="17" thickBot="1" x14ac:dyDescent="0.25">
      <c r="A41" s="70" t="s">
        <v>270</v>
      </c>
      <c r="B41" s="36" t="s">
        <v>271</v>
      </c>
      <c r="C41" s="37">
        <v>4</v>
      </c>
      <c r="D41" s="38">
        <f t="shared" si="9"/>
        <v>3.6396724294813468E-3</v>
      </c>
      <c r="E41" s="39" t="s">
        <v>105</v>
      </c>
      <c r="F41" s="39" t="s">
        <v>168</v>
      </c>
      <c r="G41" s="39" t="s">
        <v>7</v>
      </c>
      <c r="H41" s="39" t="s">
        <v>459</v>
      </c>
      <c r="I41" s="286">
        <f t="shared" si="10"/>
        <v>0.22</v>
      </c>
      <c r="J41" s="274">
        <v>55</v>
      </c>
      <c r="K41" s="143">
        <f t="shared" si="2"/>
        <v>0.22</v>
      </c>
    </row>
    <row r="42" spans="1:11" ht="17" thickBot="1" x14ac:dyDescent="0.25">
      <c r="A42" s="70" t="s">
        <v>276</v>
      </c>
      <c r="B42" s="36" t="s">
        <v>277</v>
      </c>
      <c r="C42" s="37">
        <v>3</v>
      </c>
      <c r="D42" s="38">
        <f t="shared" si="9"/>
        <v>2.7297543221110102E-3</v>
      </c>
      <c r="E42" s="39" t="s">
        <v>230</v>
      </c>
      <c r="F42" s="39" t="s">
        <v>168</v>
      </c>
      <c r="G42" s="39" t="s">
        <v>6</v>
      </c>
      <c r="H42" s="39" t="s">
        <v>459</v>
      </c>
      <c r="I42" s="286">
        <f t="shared" si="10"/>
        <v>0.16500000000000001</v>
      </c>
      <c r="J42" s="274">
        <v>55</v>
      </c>
      <c r="K42" s="143">
        <f t="shared" si="2"/>
        <v>0.16500000000000001</v>
      </c>
    </row>
    <row r="43" spans="1:11" ht="17" thickBot="1" x14ac:dyDescent="0.25">
      <c r="A43" s="197" t="s">
        <v>707</v>
      </c>
      <c r="B43" s="66" t="s">
        <v>235</v>
      </c>
      <c r="C43" s="337">
        <v>5</v>
      </c>
      <c r="D43" s="344">
        <f>C43/$C$1</f>
        <v>4.549590536851683E-3</v>
      </c>
      <c r="E43" s="67" t="s">
        <v>230</v>
      </c>
      <c r="F43" s="67" t="s">
        <v>171</v>
      </c>
      <c r="G43" s="67" t="s">
        <v>7</v>
      </c>
      <c r="H43" s="67" t="s">
        <v>459</v>
      </c>
      <c r="I43" s="207">
        <f>C43*J43/1000</f>
        <v>0.2</v>
      </c>
      <c r="J43" s="205">
        <v>40</v>
      </c>
      <c r="K43" s="143">
        <f>C43*J43/1000</f>
        <v>0.2</v>
      </c>
    </row>
    <row r="44" spans="1:11" ht="17" thickBot="1" x14ac:dyDescent="0.25">
      <c r="A44" s="70" t="s">
        <v>704</v>
      </c>
      <c r="B44" s="36" t="s">
        <v>195</v>
      </c>
      <c r="C44" s="37">
        <v>8</v>
      </c>
      <c r="D44" s="38">
        <f>C44/$C$1</f>
        <v>7.2793448589626936E-3</v>
      </c>
      <c r="E44" s="39" t="s">
        <v>616</v>
      </c>
      <c r="F44" s="39" t="s">
        <v>171</v>
      </c>
      <c r="G44" s="39" t="s">
        <v>7</v>
      </c>
      <c r="H44" s="39" t="s">
        <v>459</v>
      </c>
      <c r="I44" s="286">
        <f>C44*J44/1000</f>
        <v>0.32</v>
      </c>
      <c r="J44" s="274">
        <v>40</v>
      </c>
      <c r="K44" s="143">
        <f>C44*J44/1000</f>
        <v>0.32</v>
      </c>
    </row>
    <row r="45" spans="1:11" ht="17" thickBot="1" x14ac:dyDescent="0.25">
      <c r="A45" s="252" t="s">
        <v>706</v>
      </c>
      <c r="B45" s="93" t="s">
        <v>288</v>
      </c>
      <c r="C45" s="55">
        <v>3</v>
      </c>
      <c r="D45" s="56">
        <f>C45/$C$1</f>
        <v>2.7297543221110102E-3</v>
      </c>
      <c r="E45" s="57" t="s">
        <v>656</v>
      </c>
      <c r="F45" s="57" t="s">
        <v>171</v>
      </c>
      <c r="G45" s="57" t="s">
        <v>7</v>
      </c>
      <c r="H45" s="57" t="s">
        <v>459</v>
      </c>
      <c r="I45" s="247">
        <f>C45*J45/1000</f>
        <v>0.12</v>
      </c>
      <c r="J45" s="281">
        <v>40</v>
      </c>
      <c r="K45" s="143">
        <f>C45*J45/1000</f>
        <v>0.12</v>
      </c>
    </row>
    <row r="46" spans="1:11" ht="17" thickBot="1" x14ac:dyDescent="0.25">
      <c r="A46" s="70" t="s">
        <v>411</v>
      </c>
      <c r="B46" s="36" t="s">
        <v>198</v>
      </c>
      <c r="C46" s="37">
        <v>1</v>
      </c>
      <c r="D46" s="38">
        <f t="shared" si="9"/>
        <v>9.099181073703367E-4</v>
      </c>
      <c r="E46" s="39" t="s">
        <v>656</v>
      </c>
      <c r="F46" s="39" t="s">
        <v>168</v>
      </c>
      <c r="G46" s="39" t="s">
        <v>7</v>
      </c>
      <c r="H46" s="39" t="s">
        <v>459</v>
      </c>
      <c r="I46" s="286">
        <f t="shared" si="10"/>
        <v>5.5E-2</v>
      </c>
      <c r="J46" s="274">
        <v>55</v>
      </c>
      <c r="K46" s="143">
        <f t="shared" si="2"/>
        <v>5.5E-2</v>
      </c>
    </row>
    <row r="47" spans="1:11" ht="17" thickBot="1" x14ac:dyDescent="0.25">
      <c r="A47" s="182" t="s">
        <v>701</v>
      </c>
      <c r="B47" s="113" t="s">
        <v>286</v>
      </c>
      <c r="C47" s="114">
        <v>2</v>
      </c>
      <c r="D47" s="115">
        <f t="shared" si="9"/>
        <v>1.8198362147406734E-3</v>
      </c>
      <c r="E47" s="116" t="s">
        <v>105</v>
      </c>
      <c r="F47" s="116" t="s">
        <v>171</v>
      </c>
      <c r="G47" s="116" t="s">
        <v>7</v>
      </c>
      <c r="H47" s="116" t="s">
        <v>459</v>
      </c>
      <c r="I47" s="248">
        <f t="shared" si="10"/>
        <v>0.08</v>
      </c>
      <c r="J47" s="285">
        <v>40</v>
      </c>
      <c r="K47" s="143">
        <f t="shared" si="2"/>
        <v>0.08</v>
      </c>
    </row>
    <row r="48" spans="1:11" x14ac:dyDescent="0.2">
      <c r="A48" s="105" t="s">
        <v>728</v>
      </c>
      <c r="B48" s="23" t="s">
        <v>642</v>
      </c>
      <c r="C48" s="24">
        <v>32</v>
      </c>
      <c r="D48" s="25">
        <f>C48/$C$1</f>
        <v>2.9117379435850774E-2</v>
      </c>
      <c r="E48" s="186" t="s">
        <v>641</v>
      </c>
      <c r="F48" s="26" t="s">
        <v>168</v>
      </c>
      <c r="G48" s="26" t="s">
        <v>7</v>
      </c>
      <c r="H48" s="26" t="s">
        <v>459</v>
      </c>
      <c r="I48" s="244">
        <f>C48*J48/1000</f>
        <v>3.84</v>
      </c>
      <c r="J48" s="132">
        <v>120</v>
      </c>
      <c r="K48" s="143">
        <f>C48*J48/1000</f>
        <v>3.84</v>
      </c>
    </row>
    <row r="49" spans="1:14" x14ac:dyDescent="0.2">
      <c r="A49" s="188" t="s">
        <v>713</v>
      </c>
      <c r="B49" s="14" t="s">
        <v>175</v>
      </c>
      <c r="C49" s="15">
        <v>30</v>
      </c>
      <c r="D49" s="20">
        <f>C49/$C$1</f>
        <v>2.7297543221110099E-2</v>
      </c>
      <c r="E49" s="16" t="s">
        <v>127</v>
      </c>
      <c r="F49" s="16" t="s">
        <v>176</v>
      </c>
      <c r="G49" s="16" t="s">
        <v>7</v>
      </c>
      <c r="H49" s="16" t="s">
        <v>459</v>
      </c>
      <c r="I49" s="243">
        <f>C49*J49/1000</f>
        <v>1.8</v>
      </c>
      <c r="J49" s="128">
        <v>60</v>
      </c>
      <c r="K49" s="143">
        <f>C49*J49/1000</f>
        <v>1.8</v>
      </c>
    </row>
    <row r="50" spans="1:14" x14ac:dyDescent="0.2">
      <c r="A50" s="188" t="s">
        <v>729</v>
      </c>
      <c r="B50" s="14" t="s">
        <v>644</v>
      </c>
      <c r="C50" s="15">
        <v>21</v>
      </c>
      <c r="D50" s="20">
        <f>C50/$C$1</f>
        <v>1.9108280254777069E-2</v>
      </c>
      <c r="E50" s="89" t="s">
        <v>641</v>
      </c>
      <c r="F50" s="16" t="s">
        <v>168</v>
      </c>
      <c r="G50" s="16" t="s">
        <v>7</v>
      </c>
      <c r="H50" s="16" t="s">
        <v>459</v>
      </c>
      <c r="I50" s="243">
        <f>C50*J50/1000</f>
        <v>2.1</v>
      </c>
      <c r="J50" s="128">
        <v>100</v>
      </c>
      <c r="K50" s="143">
        <f>C50*J50/1000</f>
        <v>2.1</v>
      </c>
    </row>
    <row r="51" spans="1:14" ht="17" thickBot="1" x14ac:dyDescent="0.25">
      <c r="A51" s="189" t="s">
        <v>440</v>
      </c>
      <c r="B51" s="31" t="s">
        <v>184</v>
      </c>
      <c r="C51" s="32">
        <v>2</v>
      </c>
      <c r="D51" s="33">
        <f>C51/$C$1</f>
        <v>1.8198362147406734E-3</v>
      </c>
      <c r="E51" s="34" t="s">
        <v>616</v>
      </c>
      <c r="F51" s="34" t="s">
        <v>171</v>
      </c>
      <c r="G51" s="34" t="s">
        <v>7</v>
      </c>
      <c r="H51" s="34" t="s">
        <v>459</v>
      </c>
      <c r="I51" s="245">
        <f>C51*J51/1000</f>
        <v>0.08</v>
      </c>
      <c r="J51" s="273">
        <v>40</v>
      </c>
      <c r="K51" s="143">
        <f>C51*J51/1000</f>
        <v>0.08</v>
      </c>
    </row>
    <row r="52" spans="1:14" x14ac:dyDescent="0.2">
      <c r="A52" s="365" t="s">
        <v>435</v>
      </c>
      <c r="B52" s="93" t="s">
        <v>183</v>
      </c>
      <c r="C52" s="55">
        <v>3</v>
      </c>
      <c r="D52" s="56">
        <f t="shared" si="0"/>
        <v>2.7297543221110102E-3</v>
      </c>
      <c r="E52" s="57" t="s">
        <v>616</v>
      </c>
      <c r="F52" s="57" t="s">
        <v>171</v>
      </c>
      <c r="G52" s="57" t="s">
        <v>7</v>
      </c>
      <c r="H52" s="57" t="s">
        <v>459</v>
      </c>
      <c r="I52" s="247">
        <f t="shared" si="1"/>
        <v>0.12</v>
      </c>
      <c r="J52" s="281">
        <v>40</v>
      </c>
      <c r="K52" s="143">
        <f t="shared" si="2"/>
        <v>0.12</v>
      </c>
    </row>
    <row r="53" spans="1:14" x14ac:dyDescent="0.2">
      <c r="A53" s="188" t="s">
        <v>435</v>
      </c>
      <c r="B53" s="14" t="s">
        <v>204</v>
      </c>
      <c r="C53" s="15">
        <v>2</v>
      </c>
      <c r="D53" s="20">
        <f t="shared" si="0"/>
        <v>1.8198362147406734E-3</v>
      </c>
      <c r="E53" s="16" t="s">
        <v>616</v>
      </c>
      <c r="F53" s="16" t="s">
        <v>171</v>
      </c>
      <c r="G53" s="16" t="s">
        <v>7</v>
      </c>
      <c r="H53" s="16" t="s">
        <v>459</v>
      </c>
      <c r="I53" s="243">
        <f t="shared" si="1"/>
        <v>0.08</v>
      </c>
      <c r="J53" s="128">
        <v>40</v>
      </c>
      <c r="K53" s="143">
        <f t="shared" si="2"/>
        <v>0.08</v>
      </c>
    </row>
    <row r="54" spans="1:14" x14ac:dyDescent="0.2">
      <c r="A54" s="188" t="s">
        <v>435</v>
      </c>
      <c r="B54" s="14" t="s">
        <v>645</v>
      </c>
      <c r="C54" s="15">
        <v>5</v>
      </c>
      <c r="D54" s="20">
        <f t="shared" si="0"/>
        <v>4.549590536851683E-3</v>
      </c>
      <c r="E54" s="16" t="s">
        <v>641</v>
      </c>
      <c r="F54" s="16" t="s">
        <v>168</v>
      </c>
      <c r="G54" s="16" t="s">
        <v>7</v>
      </c>
      <c r="H54" s="16" t="s">
        <v>459</v>
      </c>
      <c r="I54" s="243">
        <f t="shared" si="1"/>
        <v>0.6</v>
      </c>
      <c r="J54" s="128">
        <v>120</v>
      </c>
      <c r="K54" s="143">
        <f t="shared" si="2"/>
        <v>0.6</v>
      </c>
    </row>
    <row r="55" spans="1:14" x14ac:dyDescent="0.2">
      <c r="A55" s="188" t="s">
        <v>435</v>
      </c>
      <c r="B55" s="14" t="s">
        <v>192</v>
      </c>
      <c r="C55" s="15">
        <v>2</v>
      </c>
      <c r="D55" s="20">
        <f t="shared" si="0"/>
        <v>1.8198362147406734E-3</v>
      </c>
      <c r="E55" s="16" t="s">
        <v>193</v>
      </c>
      <c r="F55" s="16" t="s">
        <v>168</v>
      </c>
      <c r="G55" s="16" t="s">
        <v>7</v>
      </c>
      <c r="H55" s="16" t="s">
        <v>459</v>
      </c>
      <c r="I55" s="243">
        <f t="shared" si="1"/>
        <v>0.11</v>
      </c>
      <c r="J55" s="128">
        <v>55</v>
      </c>
      <c r="K55" s="143">
        <f t="shared" si="2"/>
        <v>0.11</v>
      </c>
    </row>
    <row r="56" spans="1:14" x14ac:dyDescent="0.2">
      <c r="A56" s="188" t="s">
        <v>435</v>
      </c>
      <c r="B56" s="14" t="s">
        <v>212</v>
      </c>
      <c r="C56" s="15">
        <v>1</v>
      </c>
      <c r="D56" s="20">
        <f t="shared" ref="D56:D99" si="11">C56/$C$1</f>
        <v>9.099181073703367E-4</v>
      </c>
      <c r="E56" s="16" t="s">
        <v>616</v>
      </c>
      <c r="F56" s="16" t="s">
        <v>171</v>
      </c>
      <c r="G56" s="16" t="s">
        <v>7</v>
      </c>
      <c r="H56" s="16" t="s">
        <v>459</v>
      </c>
      <c r="I56" s="243">
        <f t="shared" si="1"/>
        <v>0.04</v>
      </c>
      <c r="J56" s="128">
        <v>40</v>
      </c>
      <c r="K56" s="143">
        <f t="shared" si="2"/>
        <v>0.04</v>
      </c>
    </row>
    <row r="57" spans="1:14" x14ac:dyDescent="0.2">
      <c r="A57" s="188" t="s">
        <v>435</v>
      </c>
      <c r="B57" s="14" t="s">
        <v>210</v>
      </c>
      <c r="C57" s="15">
        <v>2</v>
      </c>
      <c r="D57" s="20">
        <f t="shared" si="11"/>
        <v>1.8198362147406734E-3</v>
      </c>
      <c r="E57" s="16" t="s">
        <v>616</v>
      </c>
      <c r="F57" s="16" t="s">
        <v>171</v>
      </c>
      <c r="G57" s="16" t="s">
        <v>7</v>
      </c>
      <c r="H57" s="16" t="s">
        <v>459</v>
      </c>
      <c r="I57" s="243">
        <f t="shared" si="1"/>
        <v>0.08</v>
      </c>
      <c r="J57" s="128">
        <v>40</v>
      </c>
      <c r="K57" s="143">
        <f t="shared" si="2"/>
        <v>0.08</v>
      </c>
    </row>
    <row r="58" spans="1:14" x14ac:dyDescent="0.2">
      <c r="A58" s="188" t="s">
        <v>435</v>
      </c>
      <c r="B58" s="14" t="s">
        <v>211</v>
      </c>
      <c r="C58" s="15">
        <v>1</v>
      </c>
      <c r="D58" s="20">
        <f t="shared" si="11"/>
        <v>9.099181073703367E-4</v>
      </c>
      <c r="E58" s="16" t="s">
        <v>616</v>
      </c>
      <c r="F58" s="16" t="s">
        <v>171</v>
      </c>
      <c r="G58" s="16" t="s">
        <v>7</v>
      </c>
      <c r="H58" s="16" t="s">
        <v>459</v>
      </c>
      <c r="I58" s="243">
        <f t="shared" si="1"/>
        <v>0.04</v>
      </c>
      <c r="J58" s="128">
        <v>40</v>
      </c>
      <c r="K58" s="143">
        <f t="shared" si="2"/>
        <v>0.04</v>
      </c>
    </row>
    <row r="59" spans="1:14" x14ac:dyDescent="0.2">
      <c r="A59" s="188" t="s">
        <v>435</v>
      </c>
      <c r="B59" s="14" t="s">
        <v>207</v>
      </c>
      <c r="C59" s="15">
        <v>2</v>
      </c>
      <c r="D59" s="20">
        <f t="shared" si="11"/>
        <v>1.8198362147406734E-3</v>
      </c>
      <c r="E59" s="16" t="s">
        <v>616</v>
      </c>
      <c r="F59" s="16" t="s">
        <v>171</v>
      </c>
      <c r="G59" s="16" t="s">
        <v>7</v>
      </c>
      <c r="H59" s="16" t="s">
        <v>459</v>
      </c>
      <c r="I59" s="243">
        <f t="shared" si="1"/>
        <v>0.08</v>
      </c>
      <c r="J59" s="128">
        <v>40</v>
      </c>
      <c r="K59" s="143">
        <f t="shared" si="2"/>
        <v>0.08</v>
      </c>
    </row>
    <row r="60" spans="1:14" x14ac:dyDescent="0.2">
      <c r="A60" s="188" t="s">
        <v>435</v>
      </c>
      <c r="B60" s="14" t="s">
        <v>197</v>
      </c>
      <c r="C60" s="15">
        <v>1</v>
      </c>
      <c r="D60" s="20">
        <f t="shared" si="11"/>
        <v>9.099181073703367E-4</v>
      </c>
      <c r="E60" s="16" t="s">
        <v>616</v>
      </c>
      <c r="F60" s="16" t="s">
        <v>171</v>
      </c>
      <c r="G60" s="16" t="s">
        <v>7</v>
      </c>
      <c r="H60" s="16" t="s">
        <v>459</v>
      </c>
      <c r="I60" s="243">
        <f t="shared" si="1"/>
        <v>0.04</v>
      </c>
      <c r="J60" s="128">
        <v>40</v>
      </c>
      <c r="K60" s="143">
        <f t="shared" si="2"/>
        <v>0.04</v>
      </c>
    </row>
    <row r="61" spans="1:14" x14ac:dyDescent="0.2">
      <c r="A61" s="188" t="s">
        <v>435</v>
      </c>
      <c r="B61" s="14" t="s">
        <v>196</v>
      </c>
      <c r="C61" s="15">
        <v>3</v>
      </c>
      <c r="D61" s="20">
        <f t="shared" si="11"/>
        <v>2.7297543221110102E-3</v>
      </c>
      <c r="E61" s="16" t="s">
        <v>616</v>
      </c>
      <c r="F61" s="16" t="s">
        <v>171</v>
      </c>
      <c r="G61" s="16" t="s">
        <v>7</v>
      </c>
      <c r="H61" s="16" t="s">
        <v>459</v>
      </c>
      <c r="I61" s="243">
        <f t="shared" si="1"/>
        <v>0.12</v>
      </c>
      <c r="J61" s="128">
        <v>40</v>
      </c>
      <c r="K61" s="143">
        <f t="shared" si="2"/>
        <v>0.12</v>
      </c>
    </row>
    <row r="62" spans="1:14" x14ac:dyDescent="0.2">
      <c r="A62" s="188" t="s">
        <v>435</v>
      </c>
      <c r="B62" s="14" t="s">
        <v>254</v>
      </c>
      <c r="C62" s="15">
        <v>1</v>
      </c>
      <c r="D62" s="20">
        <f t="shared" si="11"/>
        <v>9.099181073703367E-4</v>
      </c>
      <c r="E62" s="16" t="s">
        <v>616</v>
      </c>
      <c r="F62" s="16" t="s">
        <v>171</v>
      </c>
      <c r="G62" s="16" t="s">
        <v>7</v>
      </c>
      <c r="H62" s="16" t="s">
        <v>459</v>
      </c>
      <c r="I62" s="243">
        <f t="shared" si="1"/>
        <v>0.04</v>
      </c>
      <c r="J62" s="128">
        <v>40</v>
      </c>
      <c r="K62" s="143">
        <f t="shared" si="2"/>
        <v>0.04</v>
      </c>
      <c r="N62" s="12"/>
    </row>
    <row r="63" spans="1:14" x14ac:dyDescent="0.2">
      <c r="A63" s="188" t="s">
        <v>435</v>
      </c>
      <c r="B63" s="14" t="s">
        <v>646</v>
      </c>
      <c r="C63" s="15">
        <v>2</v>
      </c>
      <c r="D63" s="20">
        <f t="shared" si="11"/>
        <v>1.8198362147406734E-3</v>
      </c>
      <c r="E63" s="89" t="s">
        <v>641</v>
      </c>
      <c r="F63" s="16" t="s">
        <v>168</v>
      </c>
      <c r="G63" s="16" t="s">
        <v>7</v>
      </c>
      <c r="H63" s="16" t="s">
        <v>459</v>
      </c>
      <c r="I63" s="243">
        <f t="shared" si="1"/>
        <v>0.02</v>
      </c>
      <c r="J63" s="128">
        <v>10</v>
      </c>
      <c r="K63" s="143">
        <f t="shared" si="2"/>
        <v>0.02</v>
      </c>
    </row>
    <row r="64" spans="1:14" x14ac:dyDescent="0.2">
      <c r="A64" s="188" t="s">
        <v>435</v>
      </c>
      <c r="B64" s="14" t="s">
        <v>647</v>
      </c>
      <c r="C64" s="15">
        <v>1</v>
      </c>
      <c r="D64" s="20">
        <f t="shared" si="11"/>
        <v>9.099181073703367E-4</v>
      </c>
      <c r="E64" s="89" t="s">
        <v>641</v>
      </c>
      <c r="F64" s="16" t="s">
        <v>168</v>
      </c>
      <c r="G64" s="16" t="s">
        <v>7</v>
      </c>
      <c r="H64" s="16" t="s">
        <v>459</v>
      </c>
      <c r="I64" s="243">
        <f t="shared" si="1"/>
        <v>0.01</v>
      </c>
      <c r="J64" s="128">
        <v>10</v>
      </c>
      <c r="K64" s="143">
        <f t="shared" si="2"/>
        <v>0.01</v>
      </c>
    </row>
    <row r="65" spans="1:11" x14ac:dyDescent="0.2">
      <c r="A65" s="188" t="s">
        <v>435</v>
      </c>
      <c r="B65" s="14" t="s">
        <v>648</v>
      </c>
      <c r="C65" s="15">
        <v>1</v>
      </c>
      <c r="D65" s="20">
        <f t="shared" si="11"/>
        <v>9.099181073703367E-4</v>
      </c>
      <c r="E65" s="89" t="s">
        <v>641</v>
      </c>
      <c r="F65" s="16" t="s">
        <v>168</v>
      </c>
      <c r="G65" s="16" t="s">
        <v>7</v>
      </c>
      <c r="H65" s="16" t="s">
        <v>459</v>
      </c>
      <c r="I65" s="243">
        <f t="shared" si="1"/>
        <v>5.5E-2</v>
      </c>
      <c r="J65" s="128">
        <v>55</v>
      </c>
      <c r="K65" s="143">
        <f t="shared" si="2"/>
        <v>5.5E-2</v>
      </c>
    </row>
    <row r="66" spans="1:11" x14ac:dyDescent="0.2">
      <c r="A66" s="188" t="s">
        <v>435</v>
      </c>
      <c r="B66" s="14" t="s">
        <v>649</v>
      </c>
      <c r="C66" s="15">
        <v>4</v>
      </c>
      <c r="D66" s="20">
        <f t="shared" si="11"/>
        <v>3.6396724294813468E-3</v>
      </c>
      <c r="E66" s="89" t="s">
        <v>641</v>
      </c>
      <c r="F66" s="16" t="s">
        <v>168</v>
      </c>
      <c r="G66" s="16" t="s">
        <v>7</v>
      </c>
      <c r="H66" s="16" t="s">
        <v>459</v>
      </c>
      <c r="I66" s="243">
        <f t="shared" si="1"/>
        <v>0.48</v>
      </c>
      <c r="J66" s="128">
        <v>120</v>
      </c>
      <c r="K66" s="143">
        <f t="shared" si="2"/>
        <v>0.48</v>
      </c>
    </row>
    <row r="67" spans="1:11" x14ac:dyDescent="0.2">
      <c r="A67" s="188" t="s">
        <v>435</v>
      </c>
      <c r="B67" s="14" t="s">
        <v>650</v>
      </c>
      <c r="C67" s="15">
        <v>1</v>
      </c>
      <c r="D67" s="20">
        <f t="shared" si="11"/>
        <v>9.099181073703367E-4</v>
      </c>
      <c r="E67" s="89" t="s">
        <v>641</v>
      </c>
      <c r="F67" s="16" t="s">
        <v>168</v>
      </c>
      <c r="G67" s="16" t="s">
        <v>7</v>
      </c>
      <c r="H67" s="16" t="s">
        <v>459</v>
      </c>
      <c r="I67" s="243">
        <f t="shared" si="1"/>
        <v>5.5E-2</v>
      </c>
      <c r="J67" s="128">
        <v>55</v>
      </c>
      <c r="K67" s="143">
        <f t="shared" si="2"/>
        <v>5.5E-2</v>
      </c>
    </row>
    <row r="68" spans="1:11" x14ac:dyDescent="0.2">
      <c r="A68" s="188" t="s">
        <v>435</v>
      </c>
      <c r="B68" s="14" t="s">
        <v>651</v>
      </c>
      <c r="C68" s="15">
        <v>1</v>
      </c>
      <c r="D68" s="20">
        <f t="shared" si="11"/>
        <v>9.099181073703367E-4</v>
      </c>
      <c r="E68" s="89" t="s">
        <v>641</v>
      </c>
      <c r="F68" s="16" t="s">
        <v>168</v>
      </c>
      <c r="G68" s="16" t="s">
        <v>7</v>
      </c>
      <c r="H68" s="16" t="s">
        <v>459</v>
      </c>
      <c r="I68" s="243">
        <f t="shared" si="1"/>
        <v>0.12</v>
      </c>
      <c r="J68" s="128">
        <v>120</v>
      </c>
      <c r="K68" s="143">
        <f t="shared" si="2"/>
        <v>0.12</v>
      </c>
    </row>
    <row r="69" spans="1:11" x14ac:dyDescent="0.2">
      <c r="A69" s="188" t="s">
        <v>435</v>
      </c>
      <c r="B69" s="14" t="s">
        <v>652</v>
      </c>
      <c r="C69" s="15">
        <v>1</v>
      </c>
      <c r="D69" s="20">
        <f t="shared" si="11"/>
        <v>9.099181073703367E-4</v>
      </c>
      <c r="E69" s="89" t="s">
        <v>641</v>
      </c>
      <c r="F69" s="16" t="s">
        <v>168</v>
      </c>
      <c r="G69" s="16" t="s">
        <v>7</v>
      </c>
      <c r="H69" s="16" t="s">
        <v>459</v>
      </c>
      <c r="I69" s="243">
        <f t="shared" si="1"/>
        <v>0.12</v>
      </c>
      <c r="J69" s="128">
        <v>120</v>
      </c>
      <c r="K69" s="143">
        <f t="shared" si="2"/>
        <v>0.12</v>
      </c>
    </row>
    <row r="70" spans="1:11" x14ac:dyDescent="0.2">
      <c r="A70" s="188" t="s">
        <v>435</v>
      </c>
      <c r="B70" s="14" t="s">
        <v>653</v>
      </c>
      <c r="C70" s="15">
        <v>2</v>
      </c>
      <c r="D70" s="20">
        <f t="shared" si="11"/>
        <v>1.8198362147406734E-3</v>
      </c>
      <c r="E70" s="89" t="s">
        <v>641</v>
      </c>
      <c r="F70" s="16" t="s">
        <v>168</v>
      </c>
      <c r="G70" s="16" t="s">
        <v>7</v>
      </c>
      <c r="H70" s="16" t="s">
        <v>459</v>
      </c>
      <c r="I70" s="243">
        <f t="shared" si="1"/>
        <v>0.24</v>
      </c>
      <c r="J70" s="128">
        <v>120</v>
      </c>
      <c r="K70" s="143">
        <f t="shared" si="2"/>
        <v>0.24</v>
      </c>
    </row>
    <row r="71" spans="1:11" x14ac:dyDescent="0.2">
      <c r="A71" s="188" t="s">
        <v>435</v>
      </c>
      <c r="B71" s="14" t="s">
        <v>654</v>
      </c>
      <c r="C71" s="15">
        <v>1</v>
      </c>
      <c r="D71" s="20">
        <f t="shared" si="11"/>
        <v>9.099181073703367E-4</v>
      </c>
      <c r="E71" s="89" t="s">
        <v>641</v>
      </c>
      <c r="F71" s="16" t="s">
        <v>168</v>
      </c>
      <c r="G71" s="16" t="s">
        <v>7</v>
      </c>
      <c r="H71" s="16" t="s">
        <v>459</v>
      </c>
      <c r="I71" s="243">
        <f t="shared" si="1"/>
        <v>0.12</v>
      </c>
      <c r="J71" s="128">
        <v>120</v>
      </c>
      <c r="K71" s="143">
        <f t="shared" si="2"/>
        <v>0.12</v>
      </c>
    </row>
    <row r="72" spans="1:11" x14ac:dyDescent="0.2">
      <c r="A72" s="188" t="s">
        <v>435</v>
      </c>
      <c r="B72" s="14" t="s">
        <v>191</v>
      </c>
      <c r="C72" s="15">
        <v>2</v>
      </c>
      <c r="D72" s="20">
        <f t="shared" si="11"/>
        <v>1.8198362147406734E-3</v>
      </c>
      <c r="E72" s="89" t="s">
        <v>127</v>
      </c>
      <c r="F72" s="16" t="s">
        <v>168</v>
      </c>
      <c r="G72" s="16" t="s">
        <v>7</v>
      </c>
      <c r="H72" s="16" t="s">
        <v>459</v>
      </c>
      <c r="I72" s="243">
        <f t="shared" si="1"/>
        <v>0.2</v>
      </c>
      <c r="J72" s="128">
        <v>100</v>
      </c>
      <c r="K72" s="143">
        <f t="shared" si="2"/>
        <v>0.2</v>
      </c>
    </row>
    <row r="73" spans="1:11" x14ac:dyDescent="0.2">
      <c r="A73" s="188" t="s">
        <v>435</v>
      </c>
      <c r="B73" s="14" t="s">
        <v>213</v>
      </c>
      <c r="C73" s="15">
        <v>1</v>
      </c>
      <c r="D73" s="20">
        <f t="shared" si="11"/>
        <v>9.099181073703367E-4</v>
      </c>
      <c r="E73" s="16" t="s">
        <v>193</v>
      </c>
      <c r="F73" s="16" t="s">
        <v>168</v>
      </c>
      <c r="G73" s="16" t="s">
        <v>7</v>
      </c>
      <c r="H73" s="16" t="s">
        <v>459</v>
      </c>
      <c r="I73" s="243">
        <f t="shared" si="1"/>
        <v>5.5E-2</v>
      </c>
      <c r="J73" s="128">
        <v>55</v>
      </c>
      <c r="K73" s="143">
        <f t="shared" si="2"/>
        <v>5.5E-2</v>
      </c>
    </row>
    <row r="74" spans="1:11" x14ac:dyDescent="0.2">
      <c r="A74" s="188" t="s">
        <v>435</v>
      </c>
      <c r="B74" s="14" t="s">
        <v>655</v>
      </c>
      <c r="C74" s="15">
        <v>1</v>
      </c>
      <c r="D74" s="20">
        <f t="shared" si="11"/>
        <v>9.099181073703367E-4</v>
      </c>
      <c r="E74" s="16" t="s">
        <v>641</v>
      </c>
      <c r="F74" s="16" t="s">
        <v>168</v>
      </c>
      <c r="G74" s="16" t="s">
        <v>7</v>
      </c>
      <c r="H74" s="16" t="s">
        <v>459</v>
      </c>
      <c r="I74" s="243">
        <f t="shared" si="1"/>
        <v>0.1</v>
      </c>
      <c r="J74" s="128">
        <v>100</v>
      </c>
      <c r="K74" s="143">
        <f t="shared" ref="K74:K103" si="12">C74*J74/1000</f>
        <v>0.1</v>
      </c>
    </row>
    <row r="75" spans="1:11" x14ac:dyDescent="0.2">
      <c r="A75" s="188" t="s">
        <v>435</v>
      </c>
      <c r="B75" s="14" t="s">
        <v>246</v>
      </c>
      <c r="C75" s="15">
        <v>7</v>
      </c>
      <c r="D75" s="20">
        <f t="shared" si="11"/>
        <v>6.369426751592357E-3</v>
      </c>
      <c r="E75" s="89" t="s">
        <v>616</v>
      </c>
      <c r="F75" s="16" t="s">
        <v>171</v>
      </c>
      <c r="G75" s="16" t="s">
        <v>7</v>
      </c>
      <c r="H75" s="16" t="s">
        <v>459</v>
      </c>
      <c r="I75" s="243">
        <f t="shared" si="1"/>
        <v>0.28000000000000003</v>
      </c>
      <c r="J75" s="128">
        <v>40</v>
      </c>
      <c r="K75" s="143">
        <f t="shared" si="12"/>
        <v>0.28000000000000003</v>
      </c>
    </row>
    <row r="76" spans="1:11" x14ac:dyDescent="0.2">
      <c r="A76" s="188" t="s">
        <v>435</v>
      </c>
      <c r="B76" s="14" t="s">
        <v>251</v>
      </c>
      <c r="C76" s="15">
        <v>2</v>
      </c>
      <c r="D76" s="20">
        <f t="shared" ref="D76:D79" si="13">C76/$C$1</f>
        <v>1.8198362147406734E-3</v>
      </c>
      <c r="E76" s="16" t="s">
        <v>616</v>
      </c>
      <c r="F76" s="16" t="s">
        <v>171</v>
      </c>
      <c r="G76" s="16" t="s">
        <v>7</v>
      </c>
      <c r="H76" s="16" t="s">
        <v>459</v>
      </c>
      <c r="I76" s="243">
        <f t="shared" ref="I76:I79" si="14">C76*J76/1000</f>
        <v>0.08</v>
      </c>
      <c r="J76" s="128">
        <v>40</v>
      </c>
      <c r="K76" s="143">
        <f t="shared" si="12"/>
        <v>0.08</v>
      </c>
    </row>
    <row r="77" spans="1:11" x14ac:dyDescent="0.2">
      <c r="A77" s="188" t="s">
        <v>435</v>
      </c>
      <c r="B77" s="14" t="s">
        <v>258</v>
      </c>
      <c r="C77" s="15">
        <v>2</v>
      </c>
      <c r="D77" s="20">
        <f t="shared" si="13"/>
        <v>1.8198362147406734E-3</v>
      </c>
      <c r="E77" s="16" t="s">
        <v>616</v>
      </c>
      <c r="F77" s="16" t="s">
        <v>171</v>
      </c>
      <c r="G77" s="16" t="s">
        <v>7</v>
      </c>
      <c r="H77" s="16" t="s">
        <v>459</v>
      </c>
      <c r="I77" s="243">
        <f t="shared" si="14"/>
        <v>0.08</v>
      </c>
      <c r="J77" s="128">
        <v>40</v>
      </c>
      <c r="K77" s="143">
        <f t="shared" si="12"/>
        <v>0.08</v>
      </c>
    </row>
    <row r="78" spans="1:11" x14ac:dyDescent="0.2">
      <c r="A78" s="188" t="s">
        <v>435</v>
      </c>
      <c r="B78" s="14" t="s">
        <v>261</v>
      </c>
      <c r="C78" s="15">
        <v>2</v>
      </c>
      <c r="D78" s="20">
        <f t="shared" si="13"/>
        <v>1.8198362147406734E-3</v>
      </c>
      <c r="E78" s="16" t="s">
        <v>616</v>
      </c>
      <c r="F78" s="16" t="s">
        <v>171</v>
      </c>
      <c r="G78" s="16" t="s">
        <v>7</v>
      </c>
      <c r="H78" s="16" t="s">
        <v>459</v>
      </c>
      <c r="I78" s="243">
        <f t="shared" si="14"/>
        <v>0.08</v>
      </c>
      <c r="J78" s="128">
        <v>40</v>
      </c>
      <c r="K78" s="143">
        <f t="shared" si="12"/>
        <v>0.08</v>
      </c>
    </row>
    <row r="79" spans="1:11" x14ac:dyDescent="0.2">
      <c r="A79" s="188" t="s">
        <v>435</v>
      </c>
      <c r="B79" s="14" t="s">
        <v>265</v>
      </c>
      <c r="C79" s="15">
        <v>6</v>
      </c>
      <c r="D79" s="20">
        <f t="shared" si="13"/>
        <v>5.4595086442220204E-3</v>
      </c>
      <c r="E79" s="16" t="s">
        <v>193</v>
      </c>
      <c r="F79" s="16" t="s">
        <v>168</v>
      </c>
      <c r="G79" s="16" t="s">
        <v>7</v>
      </c>
      <c r="H79" s="16" t="s">
        <v>459</v>
      </c>
      <c r="I79" s="243">
        <f t="shared" si="14"/>
        <v>0.33</v>
      </c>
      <c r="J79" s="128">
        <v>55</v>
      </c>
      <c r="K79" s="143">
        <f t="shared" si="12"/>
        <v>0.33</v>
      </c>
    </row>
    <row r="80" spans="1:11" x14ac:dyDescent="0.2">
      <c r="A80" s="188" t="s">
        <v>435</v>
      </c>
      <c r="B80" s="14" t="s">
        <v>268</v>
      </c>
      <c r="C80" s="15">
        <v>4</v>
      </c>
      <c r="D80" s="20">
        <f t="shared" si="11"/>
        <v>3.6396724294813468E-3</v>
      </c>
      <c r="E80" s="16" t="s">
        <v>105</v>
      </c>
      <c r="F80" s="16" t="s">
        <v>168</v>
      </c>
      <c r="G80" s="16" t="s">
        <v>7</v>
      </c>
      <c r="H80" s="16" t="s">
        <v>459</v>
      </c>
      <c r="I80" s="243">
        <f t="shared" ref="I80:I103" si="15">C80*J80/1000</f>
        <v>0.22</v>
      </c>
      <c r="J80" s="128">
        <v>55</v>
      </c>
      <c r="K80" s="143">
        <f t="shared" si="12"/>
        <v>0.22</v>
      </c>
    </row>
    <row r="81" spans="1:11" x14ac:dyDescent="0.2">
      <c r="A81" s="188" t="s">
        <v>435</v>
      </c>
      <c r="B81" s="14" t="s">
        <v>269</v>
      </c>
      <c r="C81" s="15">
        <v>2</v>
      </c>
      <c r="D81" s="20">
        <f>C81/$C$1</f>
        <v>1.8198362147406734E-3</v>
      </c>
      <c r="E81" s="16" t="s">
        <v>105</v>
      </c>
      <c r="F81" s="16" t="s">
        <v>168</v>
      </c>
      <c r="G81" s="16" t="s">
        <v>7</v>
      </c>
      <c r="H81" s="16" t="s">
        <v>459</v>
      </c>
      <c r="I81" s="243">
        <f>C81*J81/1000</f>
        <v>0.11</v>
      </c>
      <c r="J81" s="128">
        <v>55</v>
      </c>
      <c r="K81" s="143">
        <f t="shared" si="12"/>
        <v>0.11</v>
      </c>
    </row>
    <row r="82" spans="1:11" x14ac:dyDescent="0.2">
      <c r="A82" s="188" t="s">
        <v>435</v>
      </c>
      <c r="B82" s="14" t="s">
        <v>273</v>
      </c>
      <c r="C82" s="15">
        <v>2</v>
      </c>
      <c r="D82" s="20">
        <f t="shared" si="11"/>
        <v>1.8198362147406734E-3</v>
      </c>
      <c r="E82" s="16" t="s">
        <v>127</v>
      </c>
      <c r="F82" s="16" t="s">
        <v>168</v>
      </c>
      <c r="G82" s="16" t="s">
        <v>7</v>
      </c>
      <c r="H82" s="16" t="s">
        <v>459</v>
      </c>
      <c r="I82" s="243">
        <f t="shared" si="15"/>
        <v>0.11</v>
      </c>
      <c r="J82" s="128">
        <v>55</v>
      </c>
      <c r="K82" s="143">
        <f t="shared" si="12"/>
        <v>0.11</v>
      </c>
    </row>
    <row r="83" spans="1:11" x14ac:dyDescent="0.2">
      <c r="A83" s="188" t="s">
        <v>435</v>
      </c>
      <c r="B83" s="14" t="s">
        <v>274</v>
      </c>
      <c r="C83" s="15">
        <v>5</v>
      </c>
      <c r="D83" s="20">
        <f t="shared" si="11"/>
        <v>4.549590536851683E-3</v>
      </c>
      <c r="E83" s="16" t="s">
        <v>127</v>
      </c>
      <c r="F83" s="16" t="s">
        <v>168</v>
      </c>
      <c r="G83" s="16" t="s">
        <v>7</v>
      </c>
      <c r="H83" s="16" t="s">
        <v>459</v>
      </c>
      <c r="I83" s="243">
        <f t="shared" si="15"/>
        <v>0.27500000000000002</v>
      </c>
      <c r="J83" s="128">
        <v>55</v>
      </c>
      <c r="K83" s="143">
        <f t="shared" si="12"/>
        <v>0.27500000000000002</v>
      </c>
    </row>
    <row r="84" spans="1:11" x14ac:dyDescent="0.2">
      <c r="A84" s="188" t="s">
        <v>435</v>
      </c>
      <c r="B84" s="14" t="s">
        <v>274</v>
      </c>
      <c r="C84" s="15">
        <v>3</v>
      </c>
      <c r="D84" s="20">
        <f t="shared" si="11"/>
        <v>2.7297543221110102E-3</v>
      </c>
      <c r="E84" s="16" t="s">
        <v>105</v>
      </c>
      <c r="F84" s="16" t="s">
        <v>168</v>
      </c>
      <c r="G84" s="16" t="s">
        <v>7</v>
      </c>
      <c r="H84" s="16" t="s">
        <v>459</v>
      </c>
      <c r="I84" s="243">
        <f t="shared" si="15"/>
        <v>0.16500000000000001</v>
      </c>
      <c r="J84" s="128">
        <v>55</v>
      </c>
      <c r="K84" s="143">
        <f t="shared" si="12"/>
        <v>0.16500000000000001</v>
      </c>
    </row>
    <row r="85" spans="1:11" x14ac:dyDescent="0.2">
      <c r="A85" s="188" t="s">
        <v>435</v>
      </c>
      <c r="B85" s="14" t="s">
        <v>275</v>
      </c>
      <c r="C85" s="15">
        <v>1</v>
      </c>
      <c r="D85" s="20">
        <f t="shared" si="11"/>
        <v>9.099181073703367E-4</v>
      </c>
      <c r="E85" s="16" t="s">
        <v>127</v>
      </c>
      <c r="F85" s="16" t="s">
        <v>168</v>
      </c>
      <c r="G85" s="16" t="s">
        <v>7</v>
      </c>
      <c r="H85" s="16" t="s">
        <v>459</v>
      </c>
      <c r="I85" s="243">
        <f t="shared" si="15"/>
        <v>5.5E-2</v>
      </c>
      <c r="J85" s="128">
        <v>55</v>
      </c>
      <c r="K85" s="143">
        <f t="shared" si="12"/>
        <v>5.5E-2</v>
      </c>
    </row>
    <row r="86" spans="1:11" x14ac:dyDescent="0.2">
      <c r="A86" s="188" t="s">
        <v>435</v>
      </c>
      <c r="B86" s="14" t="s">
        <v>278</v>
      </c>
      <c r="C86" s="15">
        <v>7</v>
      </c>
      <c r="D86" s="20">
        <f t="shared" si="11"/>
        <v>6.369426751592357E-3</v>
      </c>
      <c r="E86" s="16" t="s">
        <v>230</v>
      </c>
      <c r="F86" s="16" t="s">
        <v>171</v>
      </c>
      <c r="G86" s="16" t="s">
        <v>7</v>
      </c>
      <c r="H86" s="16" t="s">
        <v>459</v>
      </c>
      <c r="I86" s="243">
        <f t="shared" si="15"/>
        <v>0.28000000000000003</v>
      </c>
      <c r="J86" s="128">
        <v>40</v>
      </c>
      <c r="K86" s="143">
        <f t="shared" si="12"/>
        <v>0.28000000000000003</v>
      </c>
    </row>
    <row r="87" spans="1:11" x14ac:dyDescent="0.2">
      <c r="A87" s="188" t="s">
        <v>435</v>
      </c>
      <c r="B87" s="14" t="s">
        <v>280</v>
      </c>
      <c r="C87" s="15">
        <v>2</v>
      </c>
      <c r="D87" s="20">
        <f t="shared" si="11"/>
        <v>1.8198362147406734E-3</v>
      </c>
      <c r="E87" s="16" t="s">
        <v>230</v>
      </c>
      <c r="F87" s="16" t="s">
        <v>168</v>
      </c>
      <c r="G87" s="16" t="s">
        <v>7</v>
      </c>
      <c r="H87" s="16" t="s">
        <v>459</v>
      </c>
      <c r="I87" s="243">
        <f t="shared" si="15"/>
        <v>0.2</v>
      </c>
      <c r="J87" s="128">
        <v>100</v>
      </c>
      <c r="K87" s="143">
        <f t="shared" si="12"/>
        <v>0.2</v>
      </c>
    </row>
    <row r="88" spans="1:11" x14ac:dyDescent="0.2">
      <c r="A88" s="188" t="s">
        <v>435</v>
      </c>
      <c r="B88" s="14" t="s">
        <v>281</v>
      </c>
      <c r="C88" s="15">
        <v>1</v>
      </c>
      <c r="D88" s="20">
        <f t="shared" si="11"/>
        <v>9.099181073703367E-4</v>
      </c>
      <c r="E88" s="16" t="s">
        <v>230</v>
      </c>
      <c r="F88" s="16" t="s">
        <v>168</v>
      </c>
      <c r="G88" s="16" t="s">
        <v>7</v>
      </c>
      <c r="H88" s="16" t="s">
        <v>459</v>
      </c>
      <c r="I88" s="243">
        <f t="shared" si="15"/>
        <v>5.5E-2</v>
      </c>
      <c r="J88" s="128">
        <v>55</v>
      </c>
      <c r="K88" s="143">
        <f t="shared" si="12"/>
        <v>5.5E-2</v>
      </c>
    </row>
    <row r="89" spans="1:11" x14ac:dyDescent="0.2">
      <c r="A89" s="188" t="s">
        <v>435</v>
      </c>
      <c r="B89" s="14" t="s">
        <v>282</v>
      </c>
      <c r="C89" s="15">
        <v>2</v>
      </c>
      <c r="D89" s="20">
        <f t="shared" si="11"/>
        <v>1.8198362147406734E-3</v>
      </c>
      <c r="E89" s="16" t="s">
        <v>127</v>
      </c>
      <c r="F89" s="16" t="s">
        <v>168</v>
      </c>
      <c r="G89" s="16" t="s">
        <v>7</v>
      </c>
      <c r="H89" s="16" t="s">
        <v>459</v>
      </c>
      <c r="I89" s="243">
        <f t="shared" si="15"/>
        <v>0.11</v>
      </c>
      <c r="J89" s="128">
        <v>55</v>
      </c>
      <c r="K89" s="143">
        <f t="shared" si="12"/>
        <v>0.11</v>
      </c>
    </row>
    <row r="90" spans="1:11" x14ac:dyDescent="0.2">
      <c r="A90" s="188" t="s">
        <v>435</v>
      </c>
      <c r="B90" s="14" t="s">
        <v>283</v>
      </c>
      <c r="C90" s="15">
        <v>1</v>
      </c>
      <c r="D90" s="20">
        <f t="shared" si="11"/>
        <v>9.099181073703367E-4</v>
      </c>
      <c r="E90" s="16" t="s">
        <v>127</v>
      </c>
      <c r="F90" s="16" t="s">
        <v>168</v>
      </c>
      <c r="G90" s="16" t="s">
        <v>7</v>
      </c>
      <c r="H90" s="16" t="s">
        <v>459</v>
      </c>
      <c r="I90" s="243">
        <f t="shared" si="15"/>
        <v>7.0000000000000007E-2</v>
      </c>
      <c r="J90" s="128">
        <v>70</v>
      </c>
      <c r="K90" s="143">
        <f t="shared" si="12"/>
        <v>7.0000000000000007E-2</v>
      </c>
    </row>
    <row r="91" spans="1:11" x14ac:dyDescent="0.2">
      <c r="A91" s="188" t="s">
        <v>435</v>
      </c>
      <c r="B91" s="14" t="s">
        <v>289</v>
      </c>
      <c r="C91" s="15">
        <v>3</v>
      </c>
      <c r="D91" s="20">
        <f t="shared" si="11"/>
        <v>2.7297543221110102E-3</v>
      </c>
      <c r="E91" s="16" t="s">
        <v>616</v>
      </c>
      <c r="F91" s="16" t="s">
        <v>171</v>
      </c>
      <c r="G91" s="16" t="s">
        <v>7</v>
      </c>
      <c r="H91" s="16" t="s">
        <v>459</v>
      </c>
      <c r="I91" s="243">
        <f t="shared" si="15"/>
        <v>0.12</v>
      </c>
      <c r="J91" s="128">
        <v>40</v>
      </c>
      <c r="K91" s="143">
        <f t="shared" si="12"/>
        <v>0.12</v>
      </c>
    </row>
    <row r="92" spans="1:11" x14ac:dyDescent="0.2">
      <c r="A92" s="188" t="s">
        <v>435</v>
      </c>
      <c r="B92" s="14" t="s">
        <v>287</v>
      </c>
      <c r="C92" s="15">
        <v>2</v>
      </c>
      <c r="D92" s="20">
        <f t="shared" si="11"/>
        <v>1.8198362147406734E-3</v>
      </c>
      <c r="E92" s="16" t="s">
        <v>656</v>
      </c>
      <c r="F92" s="16" t="s">
        <v>171</v>
      </c>
      <c r="G92" s="16" t="s">
        <v>7</v>
      </c>
      <c r="H92" s="16" t="s">
        <v>459</v>
      </c>
      <c r="I92" s="243">
        <f t="shared" si="15"/>
        <v>0.08</v>
      </c>
      <c r="J92" s="128">
        <v>40</v>
      </c>
      <c r="K92" s="143">
        <f t="shared" si="12"/>
        <v>0.08</v>
      </c>
    </row>
    <row r="93" spans="1:11" ht="17" thickBot="1" x14ac:dyDescent="0.25">
      <c r="A93" s="391" t="s">
        <v>435</v>
      </c>
      <c r="B93" s="51" t="s">
        <v>285</v>
      </c>
      <c r="C93" s="52">
        <v>1</v>
      </c>
      <c r="D93" s="53">
        <f>C93/$C$1</f>
        <v>9.099181073703367E-4</v>
      </c>
      <c r="E93" s="54" t="s">
        <v>230</v>
      </c>
      <c r="F93" s="54" t="s">
        <v>168</v>
      </c>
      <c r="G93" s="54" t="s">
        <v>7</v>
      </c>
      <c r="H93" s="54" t="s">
        <v>459</v>
      </c>
      <c r="I93" s="246">
        <f t="shared" si="15"/>
        <v>5.5E-2</v>
      </c>
      <c r="J93" s="145">
        <v>55</v>
      </c>
      <c r="K93" s="143">
        <f t="shared" si="12"/>
        <v>5.5E-2</v>
      </c>
    </row>
    <row r="94" spans="1:11" x14ac:dyDescent="0.2">
      <c r="A94" s="120" t="s">
        <v>435</v>
      </c>
      <c r="B94" s="47" t="s">
        <v>243</v>
      </c>
      <c r="C94" s="24">
        <v>6</v>
      </c>
      <c r="D94" s="25">
        <f>C94/$C$1</f>
        <v>5.4595086442220204E-3</v>
      </c>
      <c r="E94" s="26" t="s">
        <v>641</v>
      </c>
      <c r="F94" s="26" t="s">
        <v>168</v>
      </c>
      <c r="G94" s="26" t="s">
        <v>7</v>
      </c>
      <c r="H94" s="26" t="s">
        <v>459</v>
      </c>
      <c r="I94" s="244">
        <f t="shared" si="15"/>
        <v>0.72</v>
      </c>
      <c r="J94" s="132">
        <v>120</v>
      </c>
      <c r="K94" s="143">
        <f t="shared" si="12"/>
        <v>0.72</v>
      </c>
    </row>
    <row r="95" spans="1:11" x14ac:dyDescent="0.2">
      <c r="A95" s="102" t="s">
        <v>435</v>
      </c>
      <c r="B95" s="18" t="s">
        <v>245</v>
      </c>
      <c r="C95" s="15">
        <v>28</v>
      </c>
      <c r="D95" s="20">
        <f>C95/$C$1</f>
        <v>2.5477707006369428E-2</v>
      </c>
      <c r="E95" s="16" t="s">
        <v>385</v>
      </c>
      <c r="F95" s="16" t="s">
        <v>172</v>
      </c>
      <c r="G95" s="16" t="s">
        <v>7</v>
      </c>
      <c r="H95" s="89" t="s">
        <v>441</v>
      </c>
      <c r="I95" s="243">
        <f t="shared" si="15"/>
        <v>0.28000000000000003</v>
      </c>
      <c r="J95" s="128">
        <v>10</v>
      </c>
      <c r="K95" s="143">
        <f t="shared" si="12"/>
        <v>0.28000000000000003</v>
      </c>
    </row>
    <row r="96" spans="1:11" x14ac:dyDescent="0.2">
      <c r="A96" s="102" t="s">
        <v>435</v>
      </c>
      <c r="B96" s="18" t="s">
        <v>272</v>
      </c>
      <c r="C96" s="15">
        <v>19</v>
      </c>
      <c r="D96" s="20">
        <f>C96/$C$1</f>
        <v>1.7288444040036398E-2</v>
      </c>
      <c r="E96" s="16" t="s">
        <v>105</v>
      </c>
      <c r="F96" s="16" t="s">
        <v>168</v>
      </c>
      <c r="G96" s="16" t="s">
        <v>7</v>
      </c>
      <c r="H96" s="16" t="s">
        <v>459</v>
      </c>
      <c r="I96" s="243">
        <f t="shared" si="15"/>
        <v>1.0449999999999999</v>
      </c>
      <c r="J96" s="128">
        <v>55</v>
      </c>
      <c r="K96" s="143">
        <f t="shared" si="12"/>
        <v>1.0449999999999999</v>
      </c>
    </row>
    <row r="97" spans="1:11" x14ac:dyDescent="0.2">
      <c r="A97" s="102" t="s">
        <v>435</v>
      </c>
      <c r="B97" s="18" t="s">
        <v>226</v>
      </c>
      <c r="C97" s="15">
        <v>14</v>
      </c>
      <c r="D97" s="20">
        <f t="shared" si="11"/>
        <v>1.2738853503184714E-2</v>
      </c>
      <c r="E97" s="16" t="s">
        <v>127</v>
      </c>
      <c r="F97" s="16" t="s">
        <v>168</v>
      </c>
      <c r="G97" s="16" t="s">
        <v>7</v>
      </c>
      <c r="H97" s="16" t="s">
        <v>459</v>
      </c>
      <c r="I97" s="243">
        <f t="shared" si="15"/>
        <v>0.77</v>
      </c>
      <c r="J97" s="128">
        <v>55</v>
      </c>
      <c r="K97" s="143">
        <f t="shared" si="12"/>
        <v>0.77</v>
      </c>
    </row>
    <row r="98" spans="1:11" x14ac:dyDescent="0.2">
      <c r="A98" s="102" t="s">
        <v>435</v>
      </c>
      <c r="B98" s="18" t="s">
        <v>284</v>
      </c>
      <c r="C98" s="15">
        <v>12</v>
      </c>
      <c r="D98" s="20">
        <f t="shared" si="11"/>
        <v>1.0919017288444041E-2</v>
      </c>
      <c r="E98" s="16" t="s">
        <v>230</v>
      </c>
      <c r="F98" s="16" t="s">
        <v>168</v>
      </c>
      <c r="G98" s="16" t="s">
        <v>7</v>
      </c>
      <c r="H98" s="16" t="s">
        <v>459</v>
      </c>
      <c r="I98" s="243">
        <f t="shared" si="15"/>
        <v>0.66</v>
      </c>
      <c r="J98" s="128">
        <v>55</v>
      </c>
      <c r="K98" s="143">
        <f t="shared" si="12"/>
        <v>0.66</v>
      </c>
    </row>
    <row r="99" spans="1:11" ht="17" thickBot="1" x14ac:dyDescent="0.25">
      <c r="A99" s="125" t="s">
        <v>435</v>
      </c>
      <c r="B99" s="290" t="s">
        <v>227</v>
      </c>
      <c r="C99" s="52">
        <v>6</v>
      </c>
      <c r="D99" s="53">
        <f t="shared" si="11"/>
        <v>5.4595086442220204E-3</v>
      </c>
      <c r="E99" s="54" t="s">
        <v>105</v>
      </c>
      <c r="F99" s="54" t="s">
        <v>171</v>
      </c>
      <c r="G99" s="54" t="s">
        <v>7</v>
      </c>
      <c r="H99" s="54" t="s">
        <v>459</v>
      </c>
      <c r="I99" s="246">
        <f t="shared" si="15"/>
        <v>0.24</v>
      </c>
      <c r="J99" s="283">
        <v>40</v>
      </c>
      <c r="K99" s="143">
        <f t="shared" si="12"/>
        <v>0.24</v>
      </c>
    </row>
    <row r="100" spans="1:11" x14ac:dyDescent="0.2">
      <c r="A100" s="120" t="s">
        <v>435</v>
      </c>
      <c r="B100" s="23" t="s">
        <v>240</v>
      </c>
      <c r="C100" s="24">
        <v>240</v>
      </c>
      <c r="D100" s="25">
        <f>C100/$C$1</f>
        <v>0.2183803457688808</v>
      </c>
      <c r="E100" s="26" t="s">
        <v>616</v>
      </c>
      <c r="F100" s="26" t="s">
        <v>693</v>
      </c>
      <c r="G100" s="122" t="s">
        <v>684</v>
      </c>
      <c r="H100" s="186" t="s">
        <v>459</v>
      </c>
      <c r="I100" s="244">
        <f t="shared" si="15"/>
        <v>2.4</v>
      </c>
      <c r="J100" s="27">
        <v>10</v>
      </c>
      <c r="K100" s="143">
        <f t="shared" si="12"/>
        <v>2.4</v>
      </c>
    </row>
    <row r="101" spans="1:11" x14ac:dyDescent="0.2">
      <c r="A101" s="102" t="s">
        <v>435</v>
      </c>
      <c r="B101" s="14" t="s">
        <v>296</v>
      </c>
      <c r="C101" s="15">
        <v>48</v>
      </c>
      <c r="D101" s="20">
        <f t="shared" ref="D101:D103" si="16">C101/$C$1</f>
        <v>4.3676069153776163E-2</v>
      </c>
      <c r="E101" s="16" t="s">
        <v>238</v>
      </c>
      <c r="F101" s="16" t="s">
        <v>693</v>
      </c>
      <c r="G101" s="117" t="s">
        <v>684</v>
      </c>
      <c r="H101" s="89" t="s">
        <v>459</v>
      </c>
      <c r="I101" s="243">
        <f t="shared" si="15"/>
        <v>1.44</v>
      </c>
      <c r="J101" s="289">
        <v>30</v>
      </c>
      <c r="K101" s="143">
        <f t="shared" si="12"/>
        <v>1.44</v>
      </c>
    </row>
    <row r="102" spans="1:11" x14ac:dyDescent="0.2">
      <c r="A102" s="102" t="s">
        <v>435</v>
      </c>
      <c r="B102" s="14" t="s">
        <v>374</v>
      </c>
      <c r="C102" s="15">
        <v>28</v>
      </c>
      <c r="D102" s="20">
        <f t="shared" si="16"/>
        <v>2.5477707006369428E-2</v>
      </c>
      <c r="E102" s="16" t="s">
        <v>291</v>
      </c>
      <c r="F102" s="16" t="s">
        <v>172</v>
      </c>
      <c r="G102" s="117" t="s">
        <v>684</v>
      </c>
      <c r="H102" s="16" t="s">
        <v>459</v>
      </c>
      <c r="I102" s="243">
        <f t="shared" si="15"/>
        <v>2.1</v>
      </c>
      <c r="J102" s="29">
        <v>75</v>
      </c>
      <c r="K102" s="143">
        <f t="shared" si="12"/>
        <v>2.1</v>
      </c>
    </row>
    <row r="103" spans="1:11" ht="17" thickBot="1" x14ac:dyDescent="0.25">
      <c r="A103" s="103" t="s">
        <v>435</v>
      </c>
      <c r="B103" s="31" t="s">
        <v>237</v>
      </c>
      <c r="C103" s="32">
        <v>110</v>
      </c>
      <c r="D103" s="33">
        <f t="shared" si="16"/>
        <v>0.10009099181073704</v>
      </c>
      <c r="E103" s="34" t="s">
        <v>688</v>
      </c>
      <c r="F103" s="34" t="s">
        <v>693</v>
      </c>
      <c r="G103" s="124" t="s">
        <v>684</v>
      </c>
      <c r="H103" s="191" t="s">
        <v>441</v>
      </c>
      <c r="I103" s="245">
        <f t="shared" si="15"/>
        <v>8.8000000000000007</v>
      </c>
      <c r="J103" s="282">
        <v>80</v>
      </c>
      <c r="K103" s="143">
        <f t="shared" si="12"/>
        <v>8.8000000000000007</v>
      </c>
    </row>
    <row r="104" spans="1:11" x14ac:dyDescent="0.2">
      <c r="D104" s="13"/>
    </row>
    <row r="105" spans="1:11" ht="17" thickBot="1" x14ac:dyDescent="0.25">
      <c r="D105" s="13"/>
    </row>
    <row r="106" spans="1:11" x14ac:dyDescent="0.2">
      <c r="A106" s="413" t="s">
        <v>714</v>
      </c>
      <c r="B106" s="414"/>
      <c r="C106" s="414"/>
      <c r="D106" s="414"/>
      <c r="E106" s="415"/>
      <c r="F106" s="81"/>
      <c r="G106" s="81"/>
      <c r="H106" s="81"/>
      <c r="I106" s="109"/>
      <c r="J106" s="111"/>
      <c r="K106" s="143"/>
    </row>
    <row r="107" spans="1:11" x14ac:dyDescent="0.2">
      <c r="A107" s="213" t="s">
        <v>613</v>
      </c>
      <c r="B107" s="208" t="s">
        <v>614</v>
      </c>
      <c r="C107" s="335"/>
      <c r="D107" s="214" t="s">
        <v>617</v>
      </c>
      <c r="E107" s="215"/>
      <c r="F107" s="81"/>
      <c r="G107" s="81"/>
      <c r="H107" s="81"/>
      <c r="I107" s="109"/>
      <c r="J107" s="111"/>
      <c r="K107" s="143"/>
    </row>
    <row r="108" spans="1:11" x14ac:dyDescent="0.2">
      <c r="A108" s="79" t="str">
        <f>A4</f>
        <v>Vitafit</v>
      </c>
      <c r="B108" s="14">
        <f>SUMIF($A$4:$A$103,A108,$C$4:$C$103)</f>
        <v>163</v>
      </c>
      <c r="C108" s="75">
        <f t="shared" ref="C108:C122" si="17">B108/$C$1</f>
        <v>0.14831665150136489</v>
      </c>
      <c r="D108" s="222">
        <f>SUMIF($A$4:$A$103,A108,$I$4:$I$103)</f>
        <v>8.4249999999999989</v>
      </c>
      <c r="E108" s="210">
        <f>D108/$E$1</f>
        <v>0.1561920652576938</v>
      </c>
      <c r="F108" s="81"/>
      <c r="G108" s="81"/>
      <c r="H108" s="83"/>
    </row>
    <row r="109" spans="1:11" x14ac:dyDescent="0.2">
      <c r="A109" s="392" t="s">
        <v>725</v>
      </c>
      <c r="B109" s="14">
        <f>C48</f>
        <v>32</v>
      </c>
      <c r="C109" s="75">
        <f t="shared" si="17"/>
        <v>2.9117379435850774E-2</v>
      </c>
      <c r="D109" s="222">
        <f>I48</f>
        <v>3.84</v>
      </c>
      <c r="E109" s="210">
        <f t="shared" ref="E109:E122" si="18">D109/$E$1</f>
        <v>7.1190211345939974E-2</v>
      </c>
      <c r="F109" s="81"/>
      <c r="G109" s="81"/>
      <c r="H109" s="83"/>
    </row>
    <row r="110" spans="1:11" x14ac:dyDescent="0.2">
      <c r="A110" s="392" t="str">
        <f>A49</f>
        <v>Spedstvo Belizha importer</v>
      </c>
      <c r="B110" s="14">
        <f t="shared" ref="B110" si="19">SUMIF($A$4:$A$103,A110,$C$4:$C$103)</f>
        <v>30</v>
      </c>
      <c r="C110" s="75">
        <f t="shared" si="17"/>
        <v>2.7297543221110099E-2</v>
      </c>
      <c r="D110" s="222">
        <f t="shared" ref="D110:D121" si="20">SUMIF($A$4:$A$103,A110,$I$4:$I$103)</f>
        <v>1.8</v>
      </c>
      <c r="E110" s="210">
        <f t="shared" si="18"/>
        <v>3.3370411568409364E-2</v>
      </c>
      <c r="F110" s="81"/>
      <c r="G110" s="81"/>
      <c r="H110" s="83"/>
    </row>
    <row r="111" spans="1:11" x14ac:dyDescent="0.2">
      <c r="A111" s="393" t="str">
        <f>A9</f>
        <v>Amway importer</v>
      </c>
      <c r="B111" s="14">
        <f t="shared" ref="B111:B121" si="21">SUMIF($A$4:$A$103,A111,$C$4:$C$103)</f>
        <v>27</v>
      </c>
      <c r="C111" s="75">
        <f t="shared" ref="C111:C117" si="22">B111/$C$1</f>
        <v>2.4567788898999091E-2</v>
      </c>
      <c r="D111" s="222">
        <f t="shared" si="20"/>
        <v>1.4850000000000001</v>
      </c>
      <c r="E111" s="210">
        <f t="shared" si="18"/>
        <v>2.7530589543937726E-2</v>
      </c>
      <c r="F111" s="81"/>
      <c r="G111" s="81"/>
      <c r="H111" s="83"/>
    </row>
    <row r="112" spans="1:11" x14ac:dyDescent="0.2">
      <c r="A112" s="79" t="str">
        <f>A12</f>
        <v>Tavan Bogd Group</v>
      </c>
      <c r="B112" s="14">
        <f t="shared" si="21"/>
        <v>24</v>
      </c>
      <c r="C112" s="75">
        <f t="shared" si="22"/>
        <v>2.1838034576888082E-2</v>
      </c>
      <c r="D112" s="222">
        <f t="shared" si="20"/>
        <v>1.3199999999999998</v>
      </c>
      <c r="E112" s="210">
        <f t="shared" si="18"/>
        <v>2.4471635150166864E-2</v>
      </c>
      <c r="F112" s="81"/>
      <c r="G112" s="81"/>
      <c r="H112" s="83"/>
    </row>
    <row r="113" spans="1:8" x14ac:dyDescent="0.2">
      <c r="A113" s="392" t="str">
        <f>A50</f>
        <v>Sibiria importer</v>
      </c>
      <c r="B113" s="14">
        <f>SUMIF($A$4:$A$103,A113,$C$4:$C$103)</f>
        <v>21</v>
      </c>
      <c r="C113" s="75">
        <f>B113/$C$1</f>
        <v>1.9108280254777069E-2</v>
      </c>
      <c r="D113" s="222">
        <f t="shared" si="20"/>
        <v>2.1</v>
      </c>
      <c r="E113" s="210">
        <f t="shared" si="18"/>
        <v>3.8932146829810922E-2</v>
      </c>
      <c r="F113" s="81"/>
      <c r="G113" s="81"/>
      <c r="H113" s="83"/>
    </row>
    <row r="114" spans="1:8" x14ac:dyDescent="0.2">
      <c r="A114" s="79" t="str">
        <f>A14</f>
        <v>Teso</v>
      </c>
      <c r="B114" s="14">
        <f t="shared" si="21"/>
        <v>20</v>
      </c>
      <c r="C114" s="75">
        <f t="shared" si="22"/>
        <v>1.8198362147406732E-2</v>
      </c>
      <c r="D114" s="222">
        <f t="shared" si="20"/>
        <v>0.18</v>
      </c>
      <c r="E114" s="210">
        <f t="shared" si="18"/>
        <v>3.3370411568409363E-3</v>
      </c>
      <c r="F114" s="81"/>
      <c r="G114" s="81"/>
      <c r="H114" s="83"/>
    </row>
    <row r="115" spans="1:8" x14ac:dyDescent="0.2">
      <c r="A115" s="79" t="str">
        <f>A15</f>
        <v>Dalai khuch LLC</v>
      </c>
      <c r="B115" s="14">
        <f t="shared" si="21"/>
        <v>17</v>
      </c>
      <c r="C115" s="75">
        <f t="shared" si="22"/>
        <v>1.5468607825295723E-2</v>
      </c>
      <c r="D115" s="222">
        <f t="shared" si="20"/>
        <v>0.98</v>
      </c>
      <c r="E115" s="210">
        <f t="shared" si="18"/>
        <v>1.8168335187245099E-2</v>
      </c>
      <c r="F115" s="81"/>
      <c r="G115" s="81"/>
      <c r="H115" s="83"/>
    </row>
    <row r="116" spans="1:8" x14ac:dyDescent="0.2">
      <c r="A116" s="79" t="str">
        <f>A17</f>
        <v>Monos Group LLC</v>
      </c>
      <c r="B116" s="14">
        <f t="shared" si="21"/>
        <v>16</v>
      </c>
      <c r="C116" s="75">
        <f t="shared" si="22"/>
        <v>1.4558689717925387E-2</v>
      </c>
      <c r="D116" s="222">
        <f t="shared" si="20"/>
        <v>0.88</v>
      </c>
      <c r="E116" s="210">
        <f t="shared" si="18"/>
        <v>1.6314423433444577E-2</v>
      </c>
      <c r="F116" s="81"/>
      <c r="G116" s="81"/>
      <c r="H116" s="83"/>
    </row>
    <row r="117" spans="1:8" x14ac:dyDescent="0.2">
      <c r="A117" s="79" t="str">
        <f>A19</f>
        <v>Sod Mongol Group</v>
      </c>
      <c r="B117" s="14">
        <f t="shared" si="21"/>
        <v>16</v>
      </c>
      <c r="C117" s="75">
        <f t="shared" si="22"/>
        <v>1.4558689717925387E-2</v>
      </c>
      <c r="D117" s="222">
        <f t="shared" si="20"/>
        <v>1.92</v>
      </c>
      <c r="E117" s="210">
        <f t="shared" si="18"/>
        <v>3.5595105672969987E-2</v>
      </c>
      <c r="F117" s="81"/>
      <c r="G117" s="81"/>
      <c r="H117" s="83"/>
    </row>
    <row r="118" spans="1:8" x14ac:dyDescent="0.2">
      <c r="A118" s="79" t="str">
        <f>A20</f>
        <v>Suu LLC</v>
      </c>
      <c r="B118" s="14">
        <f t="shared" si="21"/>
        <v>13</v>
      </c>
      <c r="C118" s="75">
        <f t="shared" si="17"/>
        <v>1.1828935395814377E-2</v>
      </c>
      <c r="D118" s="222">
        <f t="shared" si="20"/>
        <v>0.52</v>
      </c>
      <c r="E118" s="210">
        <f t="shared" si="18"/>
        <v>9.6403411197627051E-3</v>
      </c>
      <c r="F118" s="81"/>
      <c r="G118" s="81"/>
      <c r="H118" s="83"/>
    </row>
    <row r="119" spans="1:8" x14ac:dyDescent="0.2">
      <c r="A119" s="79" t="str">
        <f>A21</f>
        <v>Akuma</v>
      </c>
      <c r="B119" s="14">
        <f t="shared" si="21"/>
        <v>13</v>
      </c>
      <c r="C119" s="75">
        <f>B119/$C$1</f>
        <v>1.1828935395814377E-2</v>
      </c>
      <c r="D119" s="222">
        <f t="shared" si="20"/>
        <v>1.56</v>
      </c>
      <c r="E119" s="210">
        <f t="shared" si="18"/>
        <v>2.8921023359288114E-2</v>
      </c>
      <c r="F119" s="81"/>
      <c r="G119" s="81"/>
      <c r="H119" s="83"/>
    </row>
    <row r="120" spans="1:8" x14ac:dyDescent="0.2">
      <c r="A120" s="79" t="str">
        <f>A22</f>
        <v>Montuul Servis LLC</v>
      </c>
      <c r="B120" s="14">
        <f t="shared" si="21"/>
        <v>12</v>
      </c>
      <c r="C120" s="75">
        <f t="shared" si="17"/>
        <v>1.0919017288444041E-2</v>
      </c>
      <c r="D120" s="222">
        <f t="shared" si="20"/>
        <v>0.69</v>
      </c>
      <c r="E120" s="210">
        <f t="shared" si="18"/>
        <v>1.2791991101223588E-2</v>
      </c>
      <c r="F120" s="81"/>
      <c r="G120" s="81"/>
      <c r="H120" s="83"/>
    </row>
    <row r="121" spans="1:8" x14ac:dyDescent="0.2">
      <c r="A121" s="79" t="str">
        <f>A24</f>
        <v>Tsakhiur Tumur</v>
      </c>
      <c r="B121" s="14">
        <f t="shared" si="21"/>
        <v>11</v>
      </c>
      <c r="C121" s="75">
        <f t="shared" si="17"/>
        <v>1.0009099181073703E-2</v>
      </c>
      <c r="D121" s="222">
        <f t="shared" si="20"/>
        <v>0.60499999999999998</v>
      </c>
      <c r="E121" s="210">
        <f t="shared" si="18"/>
        <v>1.1216166110493147E-2</v>
      </c>
      <c r="F121" s="81"/>
      <c r="G121" s="81"/>
      <c r="H121" s="83"/>
    </row>
    <row r="122" spans="1:8" ht="17" thickBot="1" x14ac:dyDescent="0.25">
      <c r="A122" s="211" t="s">
        <v>435</v>
      </c>
      <c r="B122" s="295">
        <f>SUM(C51:C103)+SUM(C25:C47)</f>
        <v>684</v>
      </c>
      <c r="C122" s="85">
        <f t="shared" si="17"/>
        <v>0.62238398544131024</v>
      </c>
      <c r="D122" s="295">
        <f>SUM(I51:I103)+SUM(I25:I47)</f>
        <v>27.635000000000005</v>
      </c>
      <c r="E122" s="212">
        <f t="shared" si="18"/>
        <v>0.51232851316277384</v>
      </c>
      <c r="F122" s="81"/>
      <c r="G122" s="81"/>
      <c r="H122" s="83"/>
    </row>
    <row r="123" spans="1:8" x14ac:dyDescent="0.2">
      <c r="A123" s="76"/>
      <c r="B123" s="262">
        <f>SUM(B108:B122)-$C$1</f>
        <v>0</v>
      </c>
      <c r="C123" s="78"/>
      <c r="D123" s="293">
        <f>E1-SUM(D108:D122)</f>
        <v>0</v>
      </c>
      <c r="E123" s="81"/>
      <c r="F123" s="81"/>
      <c r="G123" s="81"/>
      <c r="H123" s="83"/>
    </row>
    <row r="124" spans="1:8" x14ac:dyDescent="0.2">
      <c r="A124" s="76"/>
      <c r="B124" s="77"/>
      <c r="C124" s="78"/>
      <c r="D124" s="80"/>
      <c r="E124" s="81"/>
      <c r="F124" s="81"/>
      <c r="G124" s="81"/>
      <c r="H124" s="83"/>
    </row>
    <row r="125" spans="1:8" x14ac:dyDescent="0.2">
      <c r="A125" s="76"/>
      <c r="B125" s="77"/>
      <c r="C125" s="78"/>
      <c r="D125" s="80"/>
      <c r="E125" s="81"/>
      <c r="F125" s="81"/>
      <c r="G125" s="81"/>
      <c r="H125" s="83"/>
    </row>
    <row r="126" spans="1:8" x14ac:dyDescent="0.2">
      <c r="A126" s="76"/>
      <c r="B126" s="76"/>
      <c r="C126" s="78"/>
      <c r="D126" s="80"/>
      <c r="E126" s="81"/>
      <c r="F126" s="81"/>
      <c r="G126" s="81"/>
      <c r="H126" s="83"/>
    </row>
    <row r="127" spans="1:8" x14ac:dyDescent="0.2">
      <c r="A127" s="76"/>
      <c r="B127" s="82"/>
      <c r="C127" s="78"/>
      <c r="D127" s="80"/>
      <c r="E127" s="81"/>
      <c r="F127" s="81"/>
      <c r="G127" s="81"/>
      <c r="H127" s="83"/>
    </row>
    <row r="128" spans="1:8" x14ac:dyDescent="0.2">
      <c r="A128" s="76"/>
      <c r="B128" s="82"/>
      <c r="C128" s="78"/>
      <c r="D128" s="80"/>
      <c r="E128" s="81"/>
      <c r="F128" s="81"/>
      <c r="G128" s="81"/>
      <c r="H128" s="83"/>
    </row>
    <row r="129" spans="1:8" ht="17" thickBot="1" x14ac:dyDescent="0.25">
      <c r="A129" s="10"/>
      <c r="C129" s="6"/>
      <c r="D129" s="6"/>
      <c r="E129" s="5"/>
      <c r="F129" s="5"/>
      <c r="G129" s="5"/>
      <c r="H129" s="83"/>
    </row>
    <row r="130" spans="1:8" x14ac:dyDescent="0.2">
      <c r="A130" s="413" t="s">
        <v>126</v>
      </c>
      <c r="B130" s="414"/>
      <c r="C130" s="414"/>
      <c r="D130" s="414"/>
      <c r="E130" s="415"/>
      <c r="F130" s="5"/>
      <c r="G130" s="5"/>
      <c r="H130" s="83"/>
    </row>
    <row r="131" spans="1:8" x14ac:dyDescent="0.2">
      <c r="A131" s="213" t="s">
        <v>1</v>
      </c>
      <c r="B131" s="208" t="s">
        <v>614</v>
      </c>
      <c r="C131" s="209"/>
      <c r="D131" s="214" t="s">
        <v>617</v>
      </c>
      <c r="E131" s="215"/>
      <c r="F131" s="81"/>
      <c r="G131" s="81"/>
      <c r="H131" s="83"/>
    </row>
    <row r="132" spans="1:8" x14ac:dyDescent="0.2">
      <c r="A132" s="79" t="s">
        <v>616</v>
      </c>
      <c r="B132" s="14">
        <f t="shared" ref="B132:B142" si="23">SUMIF($E$4:$E$103,A132,$C$4:$C$103)</f>
        <v>359</v>
      </c>
      <c r="C132" s="75">
        <f>B132/$C$1</f>
        <v>0.32666060054595086</v>
      </c>
      <c r="D132" s="222">
        <f t="shared" ref="D132:D142" si="24">SUMIF($E$4:$E$103,A132,$I$4:$I$103)</f>
        <v>7.0500000000000007</v>
      </c>
      <c r="E132" s="210">
        <f>D132/$E$1</f>
        <v>0.13070077864293669</v>
      </c>
      <c r="F132" s="81"/>
      <c r="G132" s="81"/>
      <c r="H132" s="83"/>
    </row>
    <row r="133" spans="1:8" x14ac:dyDescent="0.2">
      <c r="A133" s="79" t="s">
        <v>385</v>
      </c>
      <c r="B133" s="14">
        <f t="shared" si="23"/>
        <v>228</v>
      </c>
      <c r="C133" s="75">
        <f t="shared" ref="C133:C139" si="25">B133/$C$1</f>
        <v>0.20746132848043677</v>
      </c>
      <c r="D133" s="222">
        <f t="shared" si="24"/>
        <v>10.529999999999998</v>
      </c>
      <c r="E133" s="210">
        <f t="shared" ref="E133:E142" si="26">D133/$E$1</f>
        <v>0.19521690767519473</v>
      </c>
      <c r="F133" s="81"/>
      <c r="G133" s="81"/>
      <c r="H133" s="83"/>
    </row>
    <row r="134" spans="1:8" x14ac:dyDescent="0.2">
      <c r="A134" s="79" t="s">
        <v>688</v>
      </c>
      <c r="B134" s="14">
        <f t="shared" si="23"/>
        <v>110</v>
      </c>
      <c r="C134" s="75">
        <f t="shared" ref="C134" si="27">B134/$C$1</f>
        <v>0.10009099181073704</v>
      </c>
      <c r="D134" s="222">
        <f t="shared" si="24"/>
        <v>8.8000000000000007</v>
      </c>
      <c r="E134" s="210">
        <f t="shared" si="26"/>
        <v>0.16314423433444578</v>
      </c>
      <c r="F134" s="81"/>
      <c r="G134" s="81"/>
      <c r="H134" s="83"/>
    </row>
    <row r="135" spans="1:8" x14ac:dyDescent="0.2">
      <c r="A135" s="79" t="s">
        <v>641</v>
      </c>
      <c r="B135" s="14">
        <f t="shared" si="23"/>
        <v>108</v>
      </c>
      <c r="C135" s="75">
        <f>B135/$C$1</f>
        <v>9.8271155595996362E-2</v>
      </c>
      <c r="D135" s="222">
        <f t="shared" si="24"/>
        <v>12.059999999999997</v>
      </c>
      <c r="E135" s="210">
        <f t="shared" si="26"/>
        <v>0.22358175750834267</v>
      </c>
      <c r="F135" s="81"/>
      <c r="G135" s="81"/>
      <c r="H135" s="83"/>
    </row>
    <row r="136" spans="1:8" x14ac:dyDescent="0.2">
      <c r="A136" s="79" t="s">
        <v>127</v>
      </c>
      <c r="B136" s="14">
        <f t="shared" si="23"/>
        <v>78</v>
      </c>
      <c r="C136" s="75">
        <f>B136/$C$1</f>
        <v>7.0973612374886266E-2</v>
      </c>
      <c r="D136" s="222">
        <f t="shared" si="24"/>
        <v>4.5449999999999999</v>
      </c>
      <c r="E136" s="210">
        <f t="shared" si="26"/>
        <v>8.4260289210233638E-2</v>
      </c>
      <c r="F136" s="81"/>
      <c r="G136" s="81"/>
      <c r="H136" s="83"/>
    </row>
    <row r="137" spans="1:8" x14ac:dyDescent="0.2">
      <c r="A137" s="79" t="s">
        <v>105</v>
      </c>
      <c r="B137" s="14">
        <f t="shared" si="23"/>
        <v>66</v>
      </c>
      <c r="C137" s="75">
        <f>B137/$C$1</f>
        <v>6.0054595086442217E-2</v>
      </c>
      <c r="D137" s="222">
        <f t="shared" si="24"/>
        <v>3.51</v>
      </c>
      <c r="E137" s="210">
        <f t="shared" si="26"/>
        <v>6.5072302558398257E-2</v>
      </c>
      <c r="F137" s="81"/>
      <c r="G137" s="81"/>
      <c r="H137" s="83"/>
    </row>
    <row r="138" spans="1:8" x14ac:dyDescent="0.2">
      <c r="A138" s="79" t="s">
        <v>230</v>
      </c>
      <c r="B138" s="14">
        <f t="shared" si="23"/>
        <v>59</v>
      </c>
      <c r="C138" s="75">
        <f>B138/$C$1</f>
        <v>5.3685168334849862E-2</v>
      </c>
      <c r="D138" s="222">
        <f t="shared" si="24"/>
        <v>3.1550000000000007</v>
      </c>
      <c r="E138" s="210">
        <f t="shared" si="26"/>
        <v>5.8490915832406426E-2</v>
      </c>
      <c r="F138" s="81"/>
      <c r="G138" s="81"/>
      <c r="H138" s="83"/>
    </row>
    <row r="139" spans="1:8" x14ac:dyDescent="0.2">
      <c r="A139" s="79" t="s">
        <v>238</v>
      </c>
      <c r="B139" s="14">
        <f t="shared" si="23"/>
        <v>48</v>
      </c>
      <c r="C139" s="75">
        <f t="shared" si="25"/>
        <v>4.3676069153776163E-2</v>
      </c>
      <c r="D139" s="222">
        <f t="shared" si="24"/>
        <v>1.44</v>
      </c>
      <c r="E139" s="210">
        <f t="shared" si="26"/>
        <v>2.669632925472749E-2</v>
      </c>
      <c r="F139" s="81"/>
      <c r="G139" s="81"/>
      <c r="H139" s="83"/>
    </row>
    <row r="140" spans="1:8" x14ac:dyDescent="0.2">
      <c r="A140" s="79" t="s">
        <v>291</v>
      </c>
      <c r="B140" s="14">
        <f t="shared" si="23"/>
        <v>28</v>
      </c>
      <c r="C140" s="75">
        <f t="shared" ref="C140" si="28">B140/$C$1</f>
        <v>2.5477707006369428E-2</v>
      </c>
      <c r="D140" s="222">
        <f t="shared" si="24"/>
        <v>2.1</v>
      </c>
      <c r="E140" s="210">
        <f t="shared" si="26"/>
        <v>3.8932146829810922E-2</v>
      </c>
      <c r="F140" s="81"/>
      <c r="G140" s="81"/>
      <c r="H140" s="83"/>
    </row>
    <row r="141" spans="1:8" x14ac:dyDescent="0.2">
      <c r="A141" s="79" t="s">
        <v>193</v>
      </c>
      <c r="B141" s="14">
        <f t="shared" si="23"/>
        <v>9</v>
      </c>
      <c r="C141" s="75">
        <f t="shared" ref="C141:C142" si="29">B141/$C$1</f>
        <v>8.1892629663330302E-3</v>
      </c>
      <c r="D141" s="222">
        <f t="shared" si="24"/>
        <v>0.495</v>
      </c>
      <c r="E141" s="210">
        <f t="shared" si="26"/>
        <v>9.1768631813125747E-3</v>
      </c>
      <c r="F141" s="81"/>
      <c r="G141" s="81"/>
      <c r="H141" s="83"/>
    </row>
    <row r="142" spans="1:8" ht="17" thickBot="1" x14ac:dyDescent="0.25">
      <c r="A142" s="84" t="s">
        <v>656</v>
      </c>
      <c r="B142" s="31">
        <f t="shared" si="23"/>
        <v>6</v>
      </c>
      <c r="C142" s="85">
        <f t="shared" si="29"/>
        <v>5.4595086442220204E-3</v>
      </c>
      <c r="D142" s="223">
        <f t="shared" si="24"/>
        <v>0.255</v>
      </c>
      <c r="E142" s="212">
        <f t="shared" si="26"/>
        <v>4.7274749721913263E-3</v>
      </c>
      <c r="F142" s="81"/>
      <c r="G142" s="81"/>
      <c r="H142" s="83"/>
    </row>
    <row r="143" spans="1:8" x14ac:dyDescent="0.2">
      <c r="A143" s="76"/>
      <c r="B143" s="262">
        <f>SUM(B132:B142)-$C$1</f>
        <v>0</v>
      </c>
      <c r="C143" s="78"/>
      <c r="D143" s="293">
        <f>E1-SUM(D132:D142)</f>
        <v>0</v>
      </c>
      <c r="E143" s="81"/>
      <c r="F143" s="81"/>
      <c r="G143" s="81"/>
      <c r="H143" s="83"/>
    </row>
    <row r="144" spans="1:8" x14ac:dyDescent="0.2">
      <c r="A144" s="76"/>
      <c r="B144" s="77"/>
      <c r="C144" s="78"/>
      <c r="D144" s="80"/>
      <c r="E144" s="81"/>
      <c r="F144" s="81"/>
      <c r="G144" s="81"/>
      <c r="H144" s="83"/>
    </row>
    <row r="145" spans="1:8" x14ac:dyDescent="0.2">
      <c r="A145" s="76"/>
      <c r="B145" s="77"/>
      <c r="C145" s="78"/>
      <c r="D145" s="80"/>
      <c r="E145" s="81"/>
      <c r="F145" s="81"/>
      <c r="G145" s="81"/>
      <c r="H145" s="83"/>
    </row>
    <row r="146" spans="1:8" x14ac:dyDescent="0.2">
      <c r="A146" s="76"/>
      <c r="B146" s="77"/>
      <c r="C146" s="78"/>
      <c r="D146" s="80"/>
      <c r="E146" s="81"/>
      <c r="F146" s="81"/>
      <c r="G146" s="81"/>
      <c r="H146" s="83"/>
    </row>
    <row r="147" spans="1:8" x14ac:dyDescent="0.2">
      <c r="A147" s="76"/>
      <c r="B147" s="82"/>
      <c r="C147" s="78"/>
      <c r="D147" s="80"/>
      <c r="E147" s="81"/>
      <c r="F147" s="81"/>
      <c r="G147" s="81"/>
      <c r="H147" s="83"/>
    </row>
    <row r="148" spans="1:8" x14ac:dyDescent="0.2">
      <c r="A148" s="216"/>
      <c r="B148" s="83"/>
      <c r="C148" s="82"/>
      <c r="D148" s="80"/>
      <c r="E148" s="81"/>
      <c r="F148" s="81"/>
      <c r="G148" s="81"/>
      <c r="H148" s="83"/>
    </row>
    <row r="149" spans="1:8" x14ac:dyDescent="0.2">
      <c r="A149" s="216"/>
      <c r="B149" s="76"/>
      <c r="C149" s="82"/>
      <c r="D149" s="80"/>
      <c r="E149" s="81"/>
      <c r="F149" s="81"/>
      <c r="G149" s="81"/>
      <c r="H149" s="83"/>
    </row>
    <row r="150" spans="1:8" ht="17" thickBot="1" x14ac:dyDescent="0.25">
      <c r="A150" s="1"/>
      <c r="B150" s="1"/>
      <c r="C150" s="6"/>
      <c r="D150" s="6"/>
      <c r="E150" s="5"/>
      <c r="F150" s="5"/>
      <c r="G150" s="5"/>
      <c r="H150" s="83"/>
    </row>
    <row r="151" spans="1:8" x14ac:dyDescent="0.2">
      <c r="A151" s="413" t="s">
        <v>128</v>
      </c>
      <c r="B151" s="414"/>
      <c r="C151" s="414"/>
      <c r="D151" s="414"/>
      <c r="E151" s="415"/>
      <c r="F151" s="5"/>
      <c r="G151" s="5"/>
      <c r="H151" s="83"/>
    </row>
    <row r="152" spans="1:8" x14ac:dyDescent="0.2">
      <c r="A152" s="213" t="s">
        <v>618</v>
      </c>
      <c r="B152" s="208" t="s">
        <v>614</v>
      </c>
      <c r="C152" s="209"/>
      <c r="D152" s="214" t="s">
        <v>617</v>
      </c>
      <c r="E152" s="215"/>
      <c r="F152" s="81"/>
      <c r="G152" s="81"/>
      <c r="H152" s="83"/>
    </row>
    <row r="153" spans="1:8" x14ac:dyDescent="0.2">
      <c r="A153" s="79" t="s">
        <v>6</v>
      </c>
      <c r="B153" s="14">
        <f>SUMIF($G$4:$G$103,A153,$C$4:$C$103)</f>
        <v>257</v>
      </c>
      <c r="C153" s="75">
        <f>B153/$C$1</f>
        <v>0.23384895359417651</v>
      </c>
      <c r="D153" s="222">
        <f>SUMIF($G$4:$G$103,A153,$I$4:$I$103)</f>
        <v>12.359999999999992</v>
      </c>
      <c r="E153" s="210">
        <f>D153/$E$1</f>
        <v>0.22914349276974416</v>
      </c>
      <c r="F153" s="81"/>
      <c r="G153" s="81"/>
      <c r="H153" s="83"/>
    </row>
    <row r="154" spans="1:8" x14ac:dyDescent="0.2">
      <c r="A154" s="79" t="s">
        <v>7</v>
      </c>
      <c r="B154" s="14">
        <f>SUMIF($G$4:$G$103,A154,$C$4:$C$103)</f>
        <v>416</v>
      </c>
      <c r="C154" s="75">
        <f>B154/$C$1</f>
        <v>0.37852593266606005</v>
      </c>
      <c r="D154" s="222">
        <f>SUMIF($G$4:$G$103,A154,$I$4:$I$103)</f>
        <v>26.839999999999979</v>
      </c>
      <c r="E154" s="210">
        <f>D154/$E$1</f>
        <v>0.4975899147200592</v>
      </c>
      <c r="F154" s="81"/>
      <c r="G154" s="81"/>
      <c r="H154" s="83"/>
    </row>
    <row r="155" spans="1:8" ht="17" thickBot="1" x14ac:dyDescent="0.25">
      <c r="A155" s="84" t="s">
        <v>684</v>
      </c>
      <c r="B155" s="31">
        <f>SUMIF($G$4:$G$103,A155,$C$4:$C$103)</f>
        <v>426</v>
      </c>
      <c r="C155" s="85">
        <f>B155/$C$1</f>
        <v>0.38762511373976344</v>
      </c>
      <c r="D155" s="223">
        <f>SUMIF($G$4:$G$103,A155,$I$4:$I$103)</f>
        <v>14.74</v>
      </c>
      <c r="E155" s="212">
        <f>D155/$E$1</f>
        <v>0.27326659251019669</v>
      </c>
      <c r="F155" s="81"/>
      <c r="G155" s="81"/>
      <c r="H155" s="83"/>
    </row>
    <row r="156" spans="1:8" x14ac:dyDescent="0.2">
      <c r="A156" s="82"/>
      <c r="B156" s="262">
        <f>SUM(B153:B155)-$C$1</f>
        <v>0</v>
      </c>
      <c r="C156" s="80"/>
      <c r="D156" s="262">
        <f>SUM(D153:D155)-$E$1</f>
        <v>0</v>
      </c>
      <c r="E156" s="81"/>
      <c r="F156" s="81"/>
      <c r="G156" s="81"/>
      <c r="H156" s="83"/>
    </row>
    <row r="157" spans="1:8" x14ac:dyDescent="0.2">
      <c r="A157" s="82"/>
      <c r="B157" s="82"/>
      <c r="C157" s="80"/>
      <c r="D157" s="80"/>
      <c r="E157" s="81"/>
      <c r="F157" s="81"/>
      <c r="G157" s="81"/>
      <c r="H157" s="83"/>
    </row>
    <row r="158" spans="1:8" x14ac:dyDescent="0.2">
      <c r="A158" s="82"/>
      <c r="B158" s="82"/>
      <c r="C158" s="80"/>
      <c r="D158" s="80"/>
      <c r="E158" s="81"/>
      <c r="F158" s="81"/>
      <c r="G158" s="81"/>
      <c r="H158" s="83"/>
    </row>
    <row r="159" spans="1:8" x14ac:dyDescent="0.2">
      <c r="A159" s="82"/>
      <c r="B159" s="82"/>
      <c r="C159" s="80"/>
      <c r="D159" s="80"/>
      <c r="E159" s="81"/>
      <c r="F159" s="81"/>
      <c r="G159" s="81"/>
      <c r="H159" s="83"/>
    </row>
    <row r="160" spans="1:8" x14ac:dyDescent="0.2">
      <c r="A160" s="82"/>
      <c r="B160" s="82"/>
      <c r="C160" s="80"/>
      <c r="D160" s="80"/>
      <c r="E160" s="81"/>
      <c r="F160" s="81"/>
      <c r="G160" s="81"/>
      <c r="H160" s="83"/>
    </row>
    <row r="161" spans="1:8" x14ac:dyDescent="0.2">
      <c r="A161" s="82"/>
      <c r="B161" s="82"/>
      <c r="C161" s="80"/>
      <c r="D161" s="80"/>
      <c r="E161" s="81"/>
      <c r="F161" s="81"/>
      <c r="G161" s="81"/>
      <c r="H161" s="83"/>
    </row>
    <row r="162" spans="1:8" x14ac:dyDescent="0.2">
      <c r="A162" s="82"/>
      <c r="B162" s="82"/>
      <c r="C162" s="80"/>
      <c r="D162" s="80"/>
      <c r="E162" s="81"/>
      <c r="F162" s="81"/>
      <c r="G162" s="81"/>
      <c r="H162" s="83"/>
    </row>
    <row r="163" spans="1:8" x14ac:dyDescent="0.2">
      <c r="A163" s="82"/>
      <c r="B163" s="82"/>
      <c r="C163" s="80"/>
      <c r="D163" s="80"/>
      <c r="E163" s="81"/>
      <c r="F163" s="81"/>
      <c r="G163" s="81"/>
      <c r="H163" s="83"/>
    </row>
    <row r="164" spans="1:8" x14ac:dyDescent="0.2">
      <c r="A164" s="82"/>
      <c r="B164" s="82"/>
      <c r="C164" s="80"/>
      <c r="D164" s="80"/>
      <c r="E164" s="81"/>
      <c r="F164" s="81"/>
      <c r="G164" s="81"/>
      <c r="H164" s="83"/>
    </row>
    <row r="165" spans="1:8" x14ac:dyDescent="0.2">
      <c r="A165" s="82"/>
      <c r="B165" s="82"/>
      <c r="C165" s="80"/>
      <c r="D165" s="80"/>
      <c r="E165" s="81"/>
      <c r="F165" s="81"/>
      <c r="G165" s="81"/>
      <c r="H165" s="83"/>
    </row>
    <row r="166" spans="1:8" x14ac:dyDescent="0.2">
      <c r="A166" s="82"/>
      <c r="B166" s="82"/>
      <c r="C166" s="80"/>
      <c r="D166" s="80"/>
      <c r="E166" s="81"/>
      <c r="F166" s="81"/>
      <c r="G166" s="81"/>
      <c r="H166" s="83"/>
    </row>
    <row r="167" spans="1:8" x14ac:dyDescent="0.2">
      <c r="A167" s="82"/>
      <c r="B167" s="82"/>
      <c r="C167" s="80"/>
      <c r="D167" s="80"/>
      <c r="E167" s="81"/>
      <c r="F167" s="81"/>
      <c r="G167" s="81"/>
      <c r="H167" s="83"/>
    </row>
    <row r="168" spans="1:8" x14ac:dyDescent="0.2">
      <c r="A168" s="82"/>
      <c r="B168" s="82"/>
      <c r="C168" s="80"/>
      <c r="D168" s="80"/>
      <c r="E168" s="81"/>
      <c r="F168" s="81"/>
      <c r="G168" s="81"/>
      <c r="H168" s="83"/>
    </row>
    <row r="169" spans="1:8" x14ac:dyDescent="0.2">
      <c r="A169" s="82"/>
      <c r="B169" s="82"/>
      <c r="C169" s="80"/>
      <c r="D169" s="80"/>
      <c r="E169" s="81"/>
      <c r="F169" s="81"/>
      <c r="G169" s="81"/>
      <c r="H169" s="83"/>
    </row>
    <row r="170" spans="1:8" x14ac:dyDescent="0.2">
      <c r="A170" s="82"/>
      <c r="B170" s="82"/>
      <c r="C170" s="80"/>
      <c r="D170" s="80"/>
      <c r="E170" s="81"/>
      <c r="F170" s="81"/>
      <c r="G170" s="81"/>
      <c r="H170" s="83"/>
    </row>
    <row r="171" spans="1:8" x14ac:dyDescent="0.2">
      <c r="A171" s="82"/>
      <c r="B171" s="82"/>
      <c r="C171" s="80"/>
      <c r="D171" s="80"/>
      <c r="E171" s="81"/>
      <c r="F171" s="81"/>
      <c r="G171" s="81"/>
      <c r="H171" s="83"/>
    </row>
    <row r="172" spans="1:8" ht="17" thickBot="1" x14ac:dyDescent="0.25">
      <c r="A172" s="1"/>
      <c r="B172" s="1"/>
      <c r="C172" s="6"/>
      <c r="D172" s="6"/>
      <c r="E172" s="5"/>
      <c r="F172" s="5"/>
      <c r="G172" s="5"/>
      <c r="H172" s="83"/>
    </row>
    <row r="173" spans="1:8" x14ac:dyDescent="0.2">
      <c r="A173" s="413" t="s">
        <v>619</v>
      </c>
      <c r="B173" s="414"/>
      <c r="C173" s="414"/>
      <c r="D173" s="414"/>
      <c r="E173" s="415"/>
      <c r="F173" s="5"/>
      <c r="G173" s="5"/>
      <c r="H173" s="83"/>
    </row>
    <row r="174" spans="1:8" x14ac:dyDescent="0.2">
      <c r="A174" s="213" t="s">
        <v>622</v>
      </c>
      <c r="B174" s="208" t="s">
        <v>614</v>
      </c>
      <c r="C174" s="209"/>
      <c r="D174" s="214" t="s">
        <v>617</v>
      </c>
      <c r="E174" s="215"/>
      <c r="F174" s="81"/>
      <c r="G174" s="81"/>
      <c r="H174" s="83"/>
    </row>
    <row r="175" spans="1:8" x14ac:dyDescent="0.2">
      <c r="A175" s="79" t="str">
        <f>H4</f>
        <v>Downcycling</v>
      </c>
      <c r="B175" s="14">
        <f>SUMIF($H$4:$H$103,A175,$C$4:$C$103)</f>
        <v>958</v>
      </c>
      <c r="C175" s="75">
        <f>B175/$C$1</f>
        <v>0.87170154686078249</v>
      </c>
      <c r="D175" s="222">
        <f>SUMIF($H$4:$H$103,A175,$I$4:$I$103)</f>
        <v>44.82999999999997</v>
      </c>
      <c r="E175" s="210">
        <f>D175/$E$1</f>
        <v>0.83110863922877265</v>
      </c>
      <c r="F175" s="81"/>
      <c r="G175" s="81"/>
      <c r="H175" s="83"/>
    </row>
    <row r="176" spans="1:8" ht="17" thickBot="1" x14ac:dyDescent="0.25">
      <c r="A176" s="84" t="str">
        <f>H5</f>
        <v>Landfill</v>
      </c>
      <c r="B176" s="31">
        <f>SUMIF($H$4:$H$103,A176,$C$4:$C$103)</f>
        <v>141</v>
      </c>
      <c r="C176" s="85">
        <f>B176/$C$1</f>
        <v>0.12829845313921748</v>
      </c>
      <c r="D176" s="223">
        <f>SUMIF($H$4:$H$103,A176,$I$4:$I$103)</f>
        <v>9.1100000000000012</v>
      </c>
      <c r="E176" s="212">
        <f>D176/$E$1</f>
        <v>0.16889136077122741</v>
      </c>
      <c r="F176" s="81"/>
      <c r="G176" s="81"/>
      <c r="H176" s="83"/>
    </row>
    <row r="177" spans="1:8" x14ac:dyDescent="0.2">
      <c r="A177" s="82"/>
      <c r="B177" s="77">
        <f>B175+B176-$C$1</f>
        <v>0</v>
      </c>
      <c r="C177" s="82"/>
      <c r="D177" s="293">
        <f>D175+D176-$E$1</f>
        <v>0</v>
      </c>
      <c r="E177" s="81"/>
      <c r="F177" s="81"/>
      <c r="G177" s="81"/>
      <c r="H177" s="83"/>
    </row>
    <row r="178" spans="1:8" x14ac:dyDescent="0.2">
      <c r="A178" s="82"/>
      <c r="B178" s="82"/>
      <c r="C178" s="80"/>
      <c r="D178" s="80"/>
      <c r="E178" s="81"/>
      <c r="F178" s="81"/>
      <c r="G178" s="81"/>
      <c r="H178" s="83"/>
    </row>
    <row r="179" spans="1:8" x14ac:dyDescent="0.2">
      <c r="A179" s="82"/>
      <c r="B179" s="82"/>
      <c r="C179" s="80"/>
      <c r="D179" s="80"/>
      <c r="E179" s="81"/>
      <c r="F179" s="81"/>
      <c r="G179" s="81"/>
      <c r="H179" s="83"/>
    </row>
    <row r="180" spans="1:8" x14ac:dyDescent="0.2">
      <c r="A180" s="82"/>
      <c r="B180" s="82"/>
      <c r="C180" s="80"/>
      <c r="D180" s="80"/>
      <c r="E180" s="81"/>
      <c r="F180" s="81"/>
      <c r="G180" s="81"/>
      <c r="H180" s="83"/>
    </row>
    <row r="181" spans="1:8" x14ac:dyDescent="0.2">
      <c r="A181" s="82"/>
      <c r="B181" s="82"/>
      <c r="C181" s="80"/>
      <c r="D181" s="80"/>
      <c r="E181" s="81"/>
      <c r="F181" s="81"/>
      <c r="G181" s="81"/>
      <c r="H181" s="83"/>
    </row>
    <row r="182" spans="1:8" x14ac:dyDescent="0.2">
      <c r="A182" s="82"/>
      <c r="B182" s="82"/>
      <c r="C182" s="80"/>
      <c r="D182" s="80"/>
      <c r="E182" s="81"/>
      <c r="F182" s="81"/>
      <c r="G182" s="81"/>
      <c r="H182" s="83"/>
    </row>
    <row r="183" spans="1:8" x14ac:dyDescent="0.2">
      <c r="A183" s="82"/>
      <c r="B183" s="82"/>
      <c r="C183" s="80"/>
      <c r="D183" s="80"/>
      <c r="E183" s="81"/>
      <c r="F183" s="81"/>
      <c r="G183" s="81"/>
      <c r="H183" s="83"/>
    </row>
    <row r="184" spans="1:8" x14ac:dyDescent="0.2">
      <c r="A184" s="82"/>
      <c r="B184" s="82"/>
      <c r="C184" s="80"/>
      <c r="D184" s="80"/>
      <c r="E184" s="81"/>
      <c r="F184" s="81"/>
      <c r="G184" s="81"/>
      <c r="H184" s="83"/>
    </row>
    <row r="185" spans="1:8" x14ac:dyDescent="0.2">
      <c r="A185" s="82"/>
      <c r="B185" s="82"/>
      <c r="C185" s="80"/>
      <c r="D185" s="80"/>
      <c r="E185" s="81"/>
      <c r="F185" s="81"/>
      <c r="G185" s="81"/>
      <c r="H185" s="83"/>
    </row>
    <row r="186" spans="1:8" x14ac:dyDescent="0.2">
      <c r="A186" s="82"/>
      <c r="B186" s="82"/>
      <c r="C186" s="80"/>
      <c r="D186" s="80"/>
      <c r="E186" s="81"/>
      <c r="F186" s="81"/>
      <c r="G186" s="81"/>
      <c r="H186" s="83"/>
    </row>
    <row r="187" spans="1:8" x14ac:dyDescent="0.2">
      <c r="A187" s="82"/>
      <c r="B187" s="82"/>
      <c r="C187" s="80"/>
      <c r="D187" s="80"/>
      <c r="E187" s="81"/>
      <c r="F187" s="81"/>
      <c r="G187" s="81"/>
      <c r="H187" s="83"/>
    </row>
    <row r="188" spans="1:8" x14ac:dyDescent="0.2">
      <c r="A188" s="82"/>
      <c r="B188" s="82"/>
      <c r="C188" s="80"/>
      <c r="D188" s="80"/>
      <c r="E188" s="81"/>
      <c r="F188" s="81"/>
      <c r="G188" s="81"/>
      <c r="H188" s="83"/>
    </row>
    <row r="189" spans="1:8" x14ac:dyDescent="0.2">
      <c r="A189" s="1"/>
      <c r="B189" s="1"/>
      <c r="C189" s="6"/>
      <c r="D189" s="6"/>
      <c r="E189" s="5"/>
      <c r="F189" s="5"/>
      <c r="G189" s="5"/>
    </row>
    <row r="194" spans="1:8" ht="17" thickBot="1" x14ac:dyDescent="0.25"/>
    <row r="195" spans="1:8" x14ac:dyDescent="0.2">
      <c r="A195" s="413" t="s">
        <v>185</v>
      </c>
      <c r="B195" s="414"/>
      <c r="C195" s="414"/>
      <c r="D195" s="414"/>
      <c r="E195" s="415"/>
    </row>
    <row r="196" spans="1:8" x14ac:dyDescent="0.2">
      <c r="A196" s="213" t="s">
        <v>683</v>
      </c>
      <c r="B196" s="208" t="s">
        <v>614</v>
      </c>
      <c r="C196" s="209"/>
      <c r="D196" s="214" t="s">
        <v>617</v>
      </c>
      <c r="E196" s="215"/>
      <c r="F196" s="81"/>
      <c r="G196" s="81"/>
      <c r="H196" s="83"/>
    </row>
    <row r="197" spans="1:8" x14ac:dyDescent="0.2">
      <c r="A197" s="79" t="str">
        <f>F4</f>
        <v>HDPE (2)</v>
      </c>
      <c r="B197" s="14">
        <f>SUMIF($F$4:$F$103,A197,$C$4:$C$103)</f>
        <v>444</v>
      </c>
      <c r="C197" s="75">
        <f>B197/$C$1</f>
        <v>0.40400363967242947</v>
      </c>
      <c r="D197" s="222">
        <f>SUMIF($F$4:$F$103,A197,$I$4:$I$103)</f>
        <v>30.989999999999988</v>
      </c>
      <c r="E197" s="210">
        <f>D197/$E$1</f>
        <v>0.57452725250278092</v>
      </c>
      <c r="F197" s="81"/>
      <c r="G197" s="81"/>
      <c r="H197" s="83"/>
    </row>
    <row r="198" spans="1:8" x14ac:dyDescent="0.2">
      <c r="A198" s="79" t="str">
        <f>F6</f>
        <v>PP (5)</v>
      </c>
      <c r="B198" s="14">
        <f>SUMIF($F$4:$F$103,A198,$C$4:$C$103)</f>
        <v>168</v>
      </c>
      <c r="C198" s="75">
        <f>B198/$C$1</f>
        <v>0.15286624203821655</v>
      </c>
      <c r="D198" s="222">
        <f>SUMIF($F$4:$F$103,A198,$I$4:$I$103)</f>
        <v>6.1000000000000023</v>
      </c>
      <c r="E198" s="210">
        <f t="shared" ref="E198:E201" si="30">D198/$E$1</f>
        <v>0.11308861698183177</v>
      </c>
      <c r="F198" s="81"/>
      <c r="G198" s="81"/>
      <c r="H198" s="83"/>
    </row>
    <row r="199" spans="1:8" x14ac:dyDescent="0.2">
      <c r="A199" s="79" t="str">
        <f>F49</f>
        <v>LDPE/HDPE</v>
      </c>
      <c r="B199" s="14">
        <f>SUMIF($F$4:$F$103,A199,$C$4:$C$103)</f>
        <v>30</v>
      </c>
      <c r="C199" s="75">
        <f>B199/$C$1</f>
        <v>2.7297543221110099E-2</v>
      </c>
      <c r="D199" s="222">
        <f>SUMIF($F$4:$F$103,A199,$I$4:$I$103)</f>
        <v>1.8</v>
      </c>
      <c r="E199" s="210">
        <f t="shared" si="30"/>
        <v>3.3370411568409364E-2</v>
      </c>
      <c r="F199" s="81"/>
      <c r="G199" s="81"/>
      <c r="H199" s="83"/>
    </row>
    <row r="200" spans="1:8" x14ac:dyDescent="0.2">
      <c r="A200" s="79" t="str">
        <f>F5</f>
        <v>PS (6)</v>
      </c>
      <c r="B200" s="14">
        <f>SUMIF($F$4:$F$103,A200,$C$4:$C$103)</f>
        <v>59</v>
      </c>
      <c r="C200" s="75">
        <f>B200/$C$1</f>
        <v>5.3685168334849862E-2</v>
      </c>
      <c r="D200" s="222">
        <f>SUMIF($F$4:$F$103,A200,$I$4:$I$103)</f>
        <v>2.41</v>
      </c>
      <c r="E200" s="210">
        <f t="shared" si="30"/>
        <v>4.4679273266592538E-2</v>
      </c>
      <c r="F200" s="81"/>
      <c r="G200" s="81"/>
      <c r="H200" s="83"/>
    </row>
    <row r="201" spans="1:8" ht="17" thickBot="1" x14ac:dyDescent="0.25">
      <c r="A201" s="84" t="s">
        <v>693</v>
      </c>
      <c r="B201" s="31">
        <f>SUMIF($F$4:$F$103,A201,$C$4:$C$103)</f>
        <v>398</v>
      </c>
      <c r="C201" s="85">
        <f>B201/$C$1</f>
        <v>0.36214740673339402</v>
      </c>
      <c r="D201" s="223">
        <f>SUMIF($F$4:$F$103,A201,$I$4:$I$103)</f>
        <v>12.64</v>
      </c>
      <c r="E201" s="212">
        <f t="shared" si="30"/>
        <v>0.23433444568038575</v>
      </c>
      <c r="F201" s="81"/>
      <c r="G201" s="81"/>
      <c r="H201" s="83"/>
    </row>
    <row r="202" spans="1:8" x14ac:dyDescent="0.2">
      <c r="A202" s="82"/>
      <c r="B202" s="262">
        <f>SUM(B197:B201)-$C$1</f>
        <v>0</v>
      </c>
      <c r="C202" s="80"/>
      <c r="D202" s="262">
        <f>SUM(D197:D201)-$E$1</f>
        <v>0</v>
      </c>
      <c r="E202" s="81"/>
      <c r="F202" s="81"/>
      <c r="G202" s="81"/>
      <c r="H202" s="83"/>
    </row>
    <row r="203" spans="1:8" x14ac:dyDescent="0.2">
      <c r="A203" s="82"/>
      <c r="B203" s="82"/>
      <c r="C203" s="80"/>
      <c r="D203" s="80"/>
      <c r="E203" s="81"/>
      <c r="F203" s="81"/>
      <c r="G203" s="81"/>
      <c r="H203" s="83"/>
    </row>
    <row r="204" spans="1:8" x14ac:dyDescent="0.2">
      <c r="A204" s="82"/>
      <c r="B204" s="82"/>
      <c r="C204" s="80"/>
      <c r="D204" s="80"/>
      <c r="E204" s="81"/>
      <c r="F204" s="81"/>
      <c r="G204" s="81"/>
      <c r="H204" s="83"/>
    </row>
    <row r="205" spans="1:8" x14ac:dyDescent="0.2">
      <c r="A205" s="82"/>
      <c r="B205" s="82"/>
      <c r="C205" s="80"/>
      <c r="D205" s="80"/>
      <c r="E205" s="81"/>
      <c r="F205" s="81"/>
      <c r="G205" s="81"/>
      <c r="H205" s="83"/>
    </row>
    <row r="206" spans="1:8" x14ac:dyDescent="0.2">
      <c r="A206" s="82"/>
      <c r="B206" s="82"/>
      <c r="C206" s="80"/>
      <c r="D206" s="80"/>
      <c r="E206" s="81"/>
      <c r="F206" s="81"/>
      <c r="G206" s="81"/>
      <c r="H206" s="83"/>
    </row>
    <row r="207" spans="1:8" x14ac:dyDescent="0.2">
      <c r="A207" s="82"/>
      <c r="B207" s="83"/>
      <c r="C207" s="80"/>
      <c r="D207" s="80"/>
      <c r="E207" s="81"/>
      <c r="F207" s="81"/>
      <c r="G207" s="81"/>
      <c r="H207" s="83"/>
    </row>
    <row r="208" spans="1:8" x14ac:dyDescent="0.2">
      <c r="A208" s="82"/>
      <c r="B208" s="82"/>
      <c r="C208" s="80"/>
      <c r="D208" s="80"/>
      <c r="E208" s="81"/>
      <c r="F208" s="81"/>
      <c r="G208" s="81"/>
      <c r="H208" s="83"/>
    </row>
    <row r="209" spans="1:8" x14ac:dyDescent="0.2">
      <c r="A209" s="82"/>
      <c r="B209" s="82"/>
      <c r="C209" s="80"/>
      <c r="D209" s="80"/>
      <c r="E209" s="81"/>
      <c r="F209" s="81"/>
      <c r="G209" s="81"/>
      <c r="H209" s="83"/>
    </row>
    <row r="210" spans="1:8" x14ac:dyDescent="0.2">
      <c r="A210" s="82"/>
      <c r="B210" s="82"/>
      <c r="C210" s="80"/>
      <c r="D210" s="80"/>
      <c r="E210" s="81"/>
      <c r="F210" s="81"/>
      <c r="G210" s="81"/>
      <c r="H210" s="83"/>
    </row>
  </sheetData>
  <mergeCells count="7">
    <mergeCell ref="A173:E173"/>
    <mergeCell ref="A195:E195"/>
    <mergeCell ref="C3:D3"/>
    <mergeCell ref="C1:D1"/>
    <mergeCell ref="A106:E106"/>
    <mergeCell ref="A130:E130"/>
    <mergeCell ref="A151:E15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2049F-3723-654E-8D04-A15AC86EDF23}">
  <sheetPr>
    <tabColor theme="4" tint="0.79998168889431442"/>
  </sheetPr>
  <dimension ref="A1:K299"/>
  <sheetViews>
    <sheetView workbookViewId="0"/>
  </sheetViews>
  <sheetFormatPr baseColWidth="10" defaultColWidth="10.6640625" defaultRowHeight="16" x14ac:dyDescent="0.2"/>
  <cols>
    <col min="1" max="1" width="26.33203125" customWidth="1"/>
    <col min="2" max="2" width="33.1640625" customWidth="1"/>
    <col min="3" max="4" width="7" customWidth="1"/>
    <col min="5" max="5" width="15.1640625" customWidth="1"/>
    <col min="6" max="6" width="11.83203125" customWidth="1"/>
    <col min="7" max="7" width="12" customWidth="1"/>
    <col min="8" max="8" width="18.83203125" customWidth="1"/>
    <col min="9" max="10" width="11.6640625" customWidth="1"/>
  </cols>
  <sheetData>
    <row r="1" spans="1:11" s="4" customFormat="1" ht="34" x14ac:dyDescent="0.4">
      <c r="A1" s="3" t="s">
        <v>12</v>
      </c>
      <c r="C1" s="420">
        <f>SUM(C4:C125)</f>
        <v>5789</v>
      </c>
      <c r="D1" s="420"/>
      <c r="E1" s="108">
        <f>SUM(I4:I125)</f>
        <v>173.8179999999999</v>
      </c>
      <c r="F1" s="107" t="s">
        <v>236</v>
      </c>
      <c r="G1" s="4" t="s">
        <v>129</v>
      </c>
      <c r="I1" s="135">
        <f>E1-SUM(K4:K125)</f>
        <v>0</v>
      </c>
    </row>
    <row r="2" spans="1:11" ht="17" thickBot="1" x14ac:dyDescent="0.25">
      <c r="D2" s="8"/>
    </row>
    <row r="3" spans="1:11" s="1" customFormat="1" ht="34" customHeight="1" thickBot="1" x14ac:dyDescent="0.25">
      <c r="A3" s="58" t="s">
        <v>20</v>
      </c>
      <c r="B3" s="59" t="s">
        <v>2</v>
      </c>
      <c r="C3" s="421" t="s">
        <v>3</v>
      </c>
      <c r="D3" s="421"/>
      <c r="E3" s="59" t="s">
        <v>1</v>
      </c>
      <c r="F3" s="59" t="s">
        <v>186</v>
      </c>
      <c r="G3" s="59" t="s">
        <v>5</v>
      </c>
      <c r="H3" s="59" t="s">
        <v>16</v>
      </c>
      <c r="I3" s="275" t="s">
        <v>367</v>
      </c>
      <c r="J3" s="60" t="s">
        <v>708</v>
      </c>
    </row>
    <row r="4" spans="1:11" x14ac:dyDescent="0.2">
      <c r="A4" s="104" t="s">
        <v>435</v>
      </c>
      <c r="B4" s="93" t="s">
        <v>290</v>
      </c>
      <c r="C4" s="57">
        <v>34</v>
      </c>
      <c r="D4" s="100">
        <f>C4/$C$1</f>
        <v>5.8732078079115563E-3</v>
      </c>
      <c r="E4" s="57" t="s">
        <v>291</v>
      </c>
      <c r="F4" s="57" t="s">
        <v>294</v>
      </c>
      <c r="G4" s="129" t="s">
        <v>684</v>
      </c>
      <c r="H4" s="97" t="s">
        <v>459</v>
      </c>
      <c r="I4" s="287">
        <f t="shared" ref="I4:I32" si="0">C4*J4/1000</f>
        <v>1.36</v>
      </c>
      <c r="J4" s="291">
        <v>40</v>
      </c>
      <c r="K4" s="143">
        <f t="shared" ref="K4:K60" si="1">C4*J4/1000</f>
        <v>1.36</v>
      </c>
    </row>
    <row r="5" spans="1:11" x14ac:dyDescent="0.2">
      <c r="A5" s="102" t="s">
        <v>435</v>
      </c>
      <c r="B5" s="14" t="s">
        <v>292</v>
      </c>
      <c r="C5" s="16">
        <v>563</v>
      </c>
      <c r="D5" s="21">
        <f t="shared" ref="D5:D7" si="2">C5/$C$1</f>
        <v>9.7253411642770779E-2</v>
      </c>
      <c r="E5" s="16" t="s">
        <v>292</v>
      </c>
      <c r="F5" s="16" t="s">
        <v>294</v>
      </c>
      <c r="G5" s="117" t="s">
        <v>684</v>
      </c>
      <c r="H5" s="96" t="s">
        <v>459</v>
      </c>
      <c r="I5" s="243">
        <f t="shared" si="0"/>
        <v>2.8149999999999999</v>
      </c>
      <c r="J5" s="289">
        <v>5</v>
      </c>
      <c r="K5" s="143">
        <f t="shared" si="1"/>
        <v>2.8149999999999999</v>
      </c>
    </row>
    <row r="6" spans="1:11" x14ac:dyDescent="0.2">
      <c r="A6" s="102" t="s">
        <v>435</v>
      </c>
      <c r="B6" s="91" t="s">
        <v>737</v>
      </c>
      <c r="C6" s="16">
        <v>1955</v>
      </c>
      <c r="D6" s="21">
        <f t="shared" si="2"/>
        <v>0.3377094489549145</v>
      </c>
      <c r="E6" s="89" t="s">
        <v>736</v>
      </c>
      <c r="F6" s="16" t="s">
        <v>294</v>
      </c>
      <c r="G6" s="117" t="s">
        <v>684</v>
      </c>
      <c r="H6" s="96" t="s">
        <v>459</v>
      </c>
      <c r="I6" s="243">
        <f t="shared" si="0"/>
        <v>82.11</v>
      </c>
      <c r="J6" s="289">
        <v>42</v>
      </c>
      <c r="K6" s="143">
        <f t="shared" si="1"/>
        <v>82.11</v>
      </c>
    </row>
    <row r="7" spans="1:11" ht="17" customHeight="1" thickBot="1" x14ac:dyDescent="0.25">
      <c r="A7" s="125" t="s">
        <v>435</v>
      </c>
      <c r="B7" s="130" t="s">
        <v>293</v>
      </c>
      <c r="C7" s="54">
        <v>485</v>
      </c>
      <c r="D7" s="118">
        <f t="shared" si="2"/>
        <v>8.3779581965797198E-2</v>
      </c>
      <c r="E7" s="235" t="s">
        <v>293</v>
      </c>
      <c r="F7" s="54" t="s">
        <v>294</v>
      </c>
      <c r="G7" s="119" t="s">
        <v>684</v>
      </c>
      <c r="H7" s="134" t="s">
        <v>459</v>
      </c>
      <c r="I7" s="246">
        <f t="shared" si="0"/>
        <v>4.3650000000000002</v>
      </c>
      <c r="J7" s="292">
        <v>9</v>
      </c>
      <c r="K7" s="143">
        <f t="shared" si="1"/>
        <v>4.3650000000000002</v>
      </c>
    </row>
    <row r="8" spans="1:11" x14ac:dyDescent="0.2">
      <c r="A8" s="22" t="s">
        <v>42</v>
      </c>
      <c r="B8" s="23" t="s">
        <v>487</v>
      </c>
      <c r="C8" s="131">
        <v>38</v>
      </c>
      <c r="D8" s="121">
        <f>C8/$C$1</f>
        <v>6.5641734323717395E-3</v>
      </c>
      <c r="E8" s="26" t="s">
        <v>616</v>
      </c>
      <c r="F8" s="26" t="s">
        <v>486</v>
      </c>
      <c r="G8" s="26" t="s">
        <v>7</v>
      </c>
      <c r="H8" s="355" t="s">
        <v>459</v>
      </c>
      <c r="I8" s="396">
        <f t="shared" ref="I8:I18" si="3">C8*J8/1000</f>
        <v>1.387</v>
      </c>
      <c r="J8" s="397">
        <v>36.5</v>
      </c>
      <c r="K8" s="143">
        <f t="shared" si="1"/>
        <v>1.387</v>
      </c>
    </row>
    <row r="9" spans="1:11" x14ac:dyDescent="0.2">
      <c r="A9" s="28" t="s">
        <v>42</v>
      </c>
      <c r="B9" s="14" t="s">
        <v>553</v>
      </c>
      <c r="C9" s="19">
        <v>5</v>
      </c>
      <c r="D9" s="21">
        <f t="shared" ref="D9:D11" si="4">C9/$C$1</f>
        <v>8.6370703057522889E-4</v>
      </c>
      <c r="E9" s="16" t="s">
        <v>385</v>
      </c>
      <c r="F9" s="16" t="s">
        <v>486</v>
      </c>
      <c r="G9" s="16" t="s">
        <v>6</v>
      </c>
      <c r="H9" s="356" t="s">
        <v>441</v>
      </c>
      <c r="I9" s="398">
        <f t="shared" si="3"/>
        <v>0.1825</v>
      </c>
      <c r="J9" s="399">
        <v>36.5</v>
      </c>
      <c r="K9" s="143">
        <f t="shared" si="1"/>
        <v>0.1825</v>
      </c>
    </row>
    <row r="10" spans="1:11" x14ac:dyDescent="0.2">
      <c r="A10" s="28" t="s">
        <v>42</v>
      </c>
      <c r="B10" s="51" t="s">
        <v>588</v>
      </c>
      <c r="C10" s="200">
        <v>18</v>
      </c>
      <c r="D10" s="118">
        <f t="shared" si="4"/>
        <v>3.109345310070824E-3</v>
      </c>
      <c r="E10" s="54" t="s">
        <v>656</v>
      </c>
      <c r="F10" s="16" t="s">
        <v>486</v>
      </c>
      <c r="G10" s="16" t="s">
        <v>7</v>
      </c>
      <c r="H10" s="356" t="s">
        <v>441</v>
      </c>
      <c r="I10" s="398">
        <f t="shared" si="3"/>
        <v>0.65700000000000003</v>
      </c>
      <c r="J10" s="399">
        <v>36.5</v>
      </c>
      <c r="K10" s="143">
        <f t="shared" si="1"/>
        <v>0.65700000000000003</v>
      </c>
    </row>
    <row r="11" spans="1:11" x14ac:dyDescent="0.2">
      <c r="A11" s="62" t="s">
        <v>42</v>
      </c>
      <c r="B11" s="51" t="s">
        <v>525</v>
      </c>
      <c r="C11" s="200">
        <v>40</v>
      </c>
      <c r="D11" s="118">
        <f t="shared" si="4"/>
        <v>6.9096562446018311E-3</v>
      </c>
      <c r="E11" s="54" t="s">
        <v>616</v>
      </c>
      <c r="F11" s="16" t="s">
        <v>486</v>
      </c>
      <c r="G11" s="16" t="s">
        <v>6</v>
      </c>
      <c r="H11" s="356" t="s">
        <v>459</v>
      </c>
      <c r="I11" s="398">
        <f t="shared" si="3"/>
        <v>1.46</v>
      </c>
      <c r="J11" s="399">
        <v>36.5</v>
      </c>
      <c r="K11" s="143">
        <f t="shared" si="1"/>
        <v>1.46</v>
      </c>
    </row>
    <row r="12" spans="1:11" ht="17" thickBot="1" x14ac:dyDescent="0.25">
      <c r="A12" s="30" t="s">
        <v>42</v>
      </c>
      <c r="B12" s="31" t="s">
        <v>525</v>
      </c>
      <c r="C12" s="133">
        <v>48</v>
      </c>
      <c r="D12" s="123">
        <f t="shared" ref="D12:D18" si="5">C12/$C$1</f>
        <v>8.2915874935221966E-3</v>
      </c>
      <c r="E12" s="34" t="s">
        <v>616</v>
      </c>
      <c r="F12" s="34" t="s">
        <v>458</v>
      </c>
      <c r="G12" s="34" t="s">
        <v>6</v>
      </c>
      <c r="H12" s="357" t="s">
        <v>459</v>
      </c>
      <c r="I12" s="400">
        <f t="shared" si="3"/>
        <v>1.752</v>
      </c>
      <c r="J12" s="401">
        <v>36.5</v>
      </c>
      <c r="K12" s="143">
        <f t="shared" si="1"/>
        <v>1.752</v>
      </c>
    </row>
    <row r="13" spans="1:11" ht="17" thickBot="1" x14ac:dyDescent="0.25">
      <c r="A13" s="22" t="s">
        <v>716</v>
      </c>
      <c r="B13" s="23" t="s">
        <v>717</v>
      </c>
      <c r="C13" s="131">
        <v>149</v>
      </c>
      <c r="D13" s="121">
        <f t="shared" si="5"/>
        <v>2.573846951114182E-2</v>
      </c>
      <c r="E13" s="26" t="s">
        <v>105</v>
      </c>
      <c r="F13" s="26" t="s">
        <v>486</v>
      </c>
      <c r="G13" s="26" t="s">
        <v>7</v>
      </c>
      <c r="H13" s="186" t="s">
        <v>441</v>
      </c>
      <c r="I13" s="396">
        <f t="shared" si="3"/>
        <v>5.4385000000000003</v>
      </c>
      <c r="J13" s="397">
        <v>36.5</v>
      </c>
      <c r="K13" s="143">
        <f t="shared" si="1"/>
        <v>5.4385000000000003</v>
      </c>
    </row>
    <row r="14" spans="1:11" x14ac:dyDescent="0.2">
      <c r="A14" s="90" t="s">
        <v>411</v>
      </c>
      <c r="B14" s="23" t="s">
        <v>586</v>
      </c>
      <c r="C14" s="131">
        <v>41</v>
      </c>
      <c r="D14" s="121">
        <f t="shared" si="5"/>
        <v>7.0823976507168769E-3</v>
      </c>
      <c r="E14" s="26" t="s">
        <v>616</v>
      </c>
      <c r="F14" s="26" t="s">
        <v>486</v>
      </c>
      <c r="G14" s="26" t="s">
        <v>7</v>
      </c>
      <c r="H14" s="355" t="s">
        <v>459</v>
      </c>
      <c r="I14" s="396">
        <f t="shared" si="3"/>
        <v>1.4964999999999999</v>
      </c>
      <c r="J14" s="397">
        <v>36.5</v>
      </c>
      <c r="K14" s="143">
        <f t="shared" si="1"/>
        <v>1.4964999999999999</v>
      </c>
    </row>
    <row r="15" spans="1:11" ht="17" thickBot="1" x14ac:dyDescent="0.25">
      <c r="A15" s="62" t="s">
        <v>411</v>
      </c>
      <c r="B15" s="51" t="s">
        <v>554</v>
      </c>
      <c r="C15" s="200">
        <v>36</v>
      </c>
      <c r="D15" s="118">
        <f t="shared" si="5"/>
        <v>6.2186906201416479E-3</v>
      </c>
      <c r="E15" s="54" t="s">
        <v>656</v>
      </c>
      <c r="F15" s="54" t="s">
        <v>486</v>
      </c>
      <c r="G15" s="54" t="s">
        <v>7</v>
      </c>
      <c r="H15" s="358" t="s">
        <v>441</v>
      </c>
      <c r="I15" s="402">
        <f t="shared" si="3"/>
        <v>1.3140000000000001</v>
      </c>
      <c r="J15" s="403">
        <v>36.5</v>
      </c>
      <c r="K15" s="143">
        <f t="shared" si="1"/>
        <v>1.3140000000000001</v>
      </c>
    </row>
    <row r="16" spans="1:11" x14ac:dyDescent="0.2">
      <c r="A16" s="22" t="s">
        <v>560</v>
      </c>
      <c r="B16" s="23" t="s">
        <v>577</v>
      </c>
      <c r="C16" s="131">
        <v>60</v>
      </c>
      <c r="D16" s="121">
        <f t="shared" si="5"/>
        <v>1.0364484366902746E-2</v>
      </c>
      <c r="E16" s="26" t="s">
        <v>616</v>
      </c>
      <c r="F16" s="26" t="s">
        <v>486</v>
      </c>
      <c r="G16" s="26" t="s">
        <v>7</v>
      </c>
      <c r="H16" s="186" t="s">
        <v>459</v>
      </c>
      <c r="I16" s="396">
        <f t="shared" si="3"/>
        <v>2.19</v>
      </c>
      <c r="J16" s="397">
        <v>36.5</v>
      </c>
      <c r="K16" s="143">
        <f t="shared" si="1"/>
        <v>2.19</v>
      </c>
    </row>
    <row r="17" spans="1:11" ht="17" thickBot="1" x14ac:dyDescent="0.25">
      <c r="A17" s="30" t="s">
        <v>560</v>
      </c>
      <c r="B17" s="31" t="s">
        <v>559</v>
      </c>
      <c r="C17" s="133">
        <v>4</v>
      </c>
      <c r="D17" s="123">
        <f t="shared" si="5"/>
        <v>6.9096562446018309E-4</v>
      </c>
      <c r="E17" s="34" t="s">
        <v>656</v>
      </c>
      <c r="F17" s="34" t="s">
        <v>486</v>
      </c>
      <c r="G17" s="34" t="s">
        <v>7</v>
      </c>
      <c r="H17" s="191" t="s">
        <v>441</v>
      </c>
      <c r="I17" s="400">
        <f t="shared" si="3"/>
        <v>0.14599999999999999</v>
      </c>
      <c r="J17" s="401">
        <v>36.5</v>
      </c>
      <c r="K17" s="143">
        <f>C17*J17/1000</f>
        <v>0.14599999999999999</v>
      </c>
    </row>
    <row r="18" spans="1:11" ht="17" thickBot="1" x14ac:dyDescent="0.25">
      <c r="A18" s="353" t="s">
        <v>726</v>
      </c>
      <c r="B18" s="93" t="s">
        <v>527</v>
      </c>
      <c r="C18" s="64">
        <v>60</v>
      </c>
      <c r="D18" s="100">
        <f t="shared" si="5"/>
        <v>1.0364484366902746E-2</v>
      </c>
      <c r="E18" s="57" t="s">
        <v>616</v>
      </c>
      <c r="F18" s="57" t="s">
        <v>486</v>
      </c>
      <c r="G18" s="57" t="s">
        <v>7</v>
      </c>
      <c r="H18" s="334" t="s">
        <v>459</v>
      </c>
      <c r="I18" s="404">
        <f t="shared" si="3"/>
        <v>2.19</v>
      </c>
      <c r="J18" s="405">
        <v>36.5</v>
      </c>
      <c r="K18" s="143">
        <f t="shared" si="1"/>
        <v>2.19</v>
      </c>
    </row>
    <row r="19" spans="1:11" ht="18" thickBot="1" x14ac:dyDescent="0.25">
      <c r="A19" s="35" t="s">
        <v>592</v>
      </c>
      <c r="B19" s="46" t="s">
        <v>541</v>
      </c>
      <c r="C19" s="346">
        <v>57</v>
      </c>
      <c r="D19" s="347">
        <f t="shared" ref="D19:D108" si="6">C19/$C$1</f>
        <v>9.8462601485576097E-3</v>
      </c>
      <c r="E19" s="39" t="s">
        <v>616</v>
      </c>
      <c r="F19" s="39" t="s">
        <v>458</v>
      </c>
      <c r="G19" s="39" t="s">
        <v>6</v>
      </c>
      <c r="H19" s="359" t="s">
        <v>459</v>
      </c>
      <c r="I19" s="406">
        <f t="shared" si="0"/>
        <v>2.0804999999999998</v>
      </c>
      <c r="J19" s="407">
        <v>36.5</v>
      </c>
      <c r="K19" s="143">
        <f t="shared" si="1"/>
        <v>2.0804999999999998</v>
      </c>
    </row>
    <row r="20" spans="1:11" ht="17" thickBot="1" x14ac:dyDescent="0.25">
      <c r="A20" s="249" t="s">
        <v>563</v>
      </c>
      <c r="B20" s="113" t="s">
        <v>460</v>
      </c>
      <c r="C20" s="302">
        <v>56</v>
      </c>
      <c r="D20" s="303">
        <f t="shared" ref="D20:D33" si="7">C20/$C$1</f>
        <v>9.673518742442563E-3</v>
      </c>
      <c r="E20" s="116" t="s">
        <v>616</v>
      </c>
      <c r="F20" s="116" t="s">
        <v>458</v>
      </c>
      <c r="G20" s="116" t="s">
        <v>6</v>
      </c>
      <c r="H20" s="360" t="s">
        <v>459</v>
      </c>
      <c r="I20" s="408">
        <f t="shared" si="0"/>
        <v>2.044</v>
      </c>
      <c r="J20" s="409">
        <v>36.5</v>
      </c>
      <c r="K20" s="143">
        <f t="shared" si="1"/>
        <v>2.044</v>
      </c>
    </row>
    <row r="21" spans="1:11" ht="17" thickBot="1" x14ac:dyDescent="0.25">
      <c r="A21" s="35" t="s">
        <v>734</v>
      </c>
      <c r="B21" s="36" t="s">
        <v>499</v>
      </c>
      <c r="C21" s="346">
        <v>46</v>
      </c>
      <c r="D21" s="347">
        <f>C21/$C$1</f>
        <v>7.946104681292105E-3</v>
      </c>
      <c r="E21" s="39" t="s">
        <v>616</v>
      </c>
      <c r="F21" s="39" t="s">
        <v>458</v>
      </c>
      <c r="G21" s="39" t="s">
        <v>7</v>
      </c>
      <c r="H21" s="345" t="s">
        <v>459</v>
      </c>
      <c r="I21" s="406">
        <f t="shared" ref="I21:I28" si="8">C21*J21/1000</f>
        <v>1.679</v>
      </c>
      <c r="J21" s="407">
        <v>36.5</v>
      </c>
      <c r="K21" s="143">
        <f t="shared" si="1"/>
        <v>1.679</v>
      </c>
    </row>
    <row r="22" spans="1:11" x14ac:dyDescent="0.2">
      <c r="A22" s="394" t="s">
        <v>440</v>
      </c>
      <c r="B22" s="202" t="s">
        <v>542</v>
      </c>
      <c r="C22" s="131">
        <v>17</v>
      </c>
      <c r="D22" s="121">
        <f>C22/$C$1</f>
        <v>2.9366039039557782E-3</v>
      </c>
      <c r="E22" s="26" t="s">
        <v>616</v>
      </c>
      <c r="F22" s="26" t="s">
        <v>458</v>
      </c>
      <c r="G22" s="26" t="s">
        <v>7</v>
      </c>
      <c r="H22" s="355" t="s">
        <v>459</v>
      </c>
      <c r="I22" s="396">
        <f t="shared" si="8"/>
        <v>0.62050000000000005</v>
      </c>
      <c r="J22" s="397">
        <v>36.5</v>
      </c>
      <c r="K22" s="143">
        <f t="shared" si="1"/>
        <v>0.62050000000000005</v>
      </c>
    </row>
    <row r="23" spans="1:11" ht="17" thickBot="1" x14ac:dyDescent="0.25">
      <c r="A23" s="395" t="s">
        <v>440</v>
      </c>
      <c r="B23" s="304" t="s">
        <v>582</v>
      </c>
      <c r="C23" s="200">
        <v>28</v>
      </c>
      <c r="D23" s="118">
        <f>C23/$C$1</f>
        <v>4.8367593712212815E-3</v>
      </c>
      <c r="E23" s="54" t="s">
        <v>616</v>
      </c>
      <c r="F23" s="54" t="s">
        <v>486</v>
      </c>
      <c r="G23" s="54" t="s">
        <v>7</v>
      </c>
      <c r="H23" s="358" t="s">
        <v>459</v>
      </c>
      <c r="I23" s="402">
        <f t="shared" si="8"/>
        <v>1.022</v>
      </c>
      <c r="J23" s="403">
        <v>36.5</v>
      </c>
      <c r="K23" s="143">
        <f t="shared" si="1"/>
        <v>1.022</v>
      </c>
    </row>
    <row r="24" spans="1:11" x14ac:dyDescent="0.2">
      <c r="A24" s="120" t="s">
        <v>715</v>
      </c>
      <c r="B24" s="23" t="s">
        <v>533</v>
      </c>
      <c r="C24" s="131">
        <v>21</v>
      </c>
      <c r="D24" s="121">
        <f t="shared" ref="D24" si="9">C24/$C$1</f>
        <v>3.6275695284159614E-3</v>
      </c>
      <c r="E24" s="26" t="s">
        <v>616</v>
      </c>
      <c r="F24" s="26" t="s">
        <v>458</v>
      </c>
      <c r="G24" s="26" t="s">
        <v>7</v>
      </c>
      <c r="H24" s="355" t="s">
        <v>459</v>
      </c>
      <c r="I24" s="396">
        <f t="shared" si="8"/>
        <v>0.76649999999999996</v>
      </c>
      <c r="J24" s="397">
        <v>36.5</v>
      </c>
      <c r="K24" s="143">
        <f t="shared" si="1"/>
        <v>0.76649999999999996</v>
      </c>
    </row>
    <row r="25" spans="1:11" ht="17" thickBot="1" x14ac:dyDescent="0.25">
      <c r="A25" s="125" t="s">
        <v>715</v>
      </c>
      <c r="B25" s="51" t="s">
        <v>533</v>
      </c>
      <c r="C25" s="200">
        <v>24</v>
      </c>
      <c r="D25" s="118">
        <f t="shared" ref="D25" si="10">C25/$C$1</f>
        <v>4.1457937467610983E-3</v>
      </c>
      <c r="E25" s="54" t="s">
        <v>616</v>
      </c>
      <c r="F25" s="54" t="s">
        <v>486</v>
      </c>
      <c r="G25" s="54" t="s">
        <v>7</v>
      </c>
      <c r="H25" s="358" t="s">
        <v>459</v>
      </c>
      <c r="I25" s="402">
        <f t="shared" si="8"/>
        <v>0.876</v>
      </c>
      <c r="J25" s="403">
        <v>36.5</v>
      </c>
      <c r="K25" s="143">
        <f t="shared" si="1"/>
        <v>0.876</v>
      </c>
    </row>
    <row r="26" spans="1:11" x14ac:dyDescent="0.2">
      <c r="A26" s="22" t="s">
        <v>427</v>
      </c>
      <c r="B26" s="23" t="s">
        <v>508</v>
      </c>
      <c r="C26" s="131">
        <v>14</v>
      </c>
      <c r="D26" s="121">
        <f>C26/$C$1</f>
        <v>2.4183796856106408E-3</v>
      </c>
      <c r="E26" s="26" t="s">
        <v>656</v>
      </c>
      <c r="F26" s="26" t="s">
        <v>486</v>
      </c>
      <c r="G26" s="26" t="s">
        <v>6</v>
      </c>
      <c r="H26" s="355" t="s">
        <v>459</v>
      </c>
      <c r="I26" s="396">
        <f t="shared" si="8"/>
        <v>0.51100000000000001</v>
      </c>
      <c r="J26" s="397">
        <v>36.5</v>
      </c>
      <c r="K26" s="143">
        <f t="shared" si="1"/>
        <v>0.51100000000000001</v>
      </c>
    </row>
    <row r="27" spans="1:11" x14ac:dyDescent="0.2">
      <c r="A27" s="201" t="s">
        <v>427</v>
      </c>
      <c r="B27" s="93" t="s">
        <v>605</v>
      </c>
      <c r="C27" s="19">
        <v>18</v>
      </c>
      <c r="D27" s="21">
        <f>C27/$C$1</f>
        <v>3.109345310070824E-3</v>
      </c>
      <c r="E27" s="16" t="s">
        <v>616</v>
      </c>
      <c r="F27" s="16" t="s">
        <v>458</v>
      </c>
      <c r="G27" s="16" t="s">
        <v>6</v>
      </c>
      <c r="H27" s="356" t="s">
        <v>459</v>
      </c>
      <c r="I27" s="398">
        <f t="shared" si="8"/>
        <v>0.65700000000000003</v>
      </c>
      <c r="J27" s="399">
        <v>36.5</v>
      </c>
      <c r="K27" s="143">
        <f t="shared" si="1"/>
        <v>0.65700000000000003</v>
      </c>
    </row>
    <row r="28" spans="1:11" ht="17" thickBot="1" x14ac:dyDescent="0.25">
      <c r="A28" s="301" t="s">
        <v>427</v>
      </c>
      <c r="B28" s="66" t="s">
        <v>552</v>
      </c>
      <c r="C28" s="133">
        <v>11</v>
      </c>
      <c r="D28" s="123">
        <f t="shared" ref="D28" si="11">C28/$C$1</f>
        <v>1.9001554672655036E-3</v>
      </c>
      <c r="E28" s="34" t="s">
        <v>39</v>
      </c>
      <c r="F28" s="34" t="s">
        <v>486</v>
      </c>
      <c r="G28" s="34" t="s">
        <v>6</v>
      </c>
      <c r="H28" s="357" t="s">
        <v>441</v>
      </c>
      <c r="I28" s="400">
        <f t="shared" si="8"/>
        <v>0.40150000000000002</v>
      </c>
      <c r="J28" s="401">
        <v>36.5</v>
      </c>
      <c r="K28" s="143">
        <f t="shared" si="1"/>
        <v>0.40150000000000002</v>
      </c>
    </row>
    <row r="29" spans="1:11" x14ac:dyDescent="0.2">
      <c r="A29" s="62" t="s">
        <v>551</v>
      </c>
      <c r="B29" s="51" t="s">
        <v>550</v>
      </c>
      <c r="C29" s="19">
        <v>40</v>
      </c>
      <c r="D29" s="21">
        <f t="shared" si="7"/>
        <v>6.9096562446018311E-3</v>
      </c>
      <c r="E29" s="16" t="s">
        <v>656</v>
      </c>
      <c r="F29" s="16" t="s">
        <v>486</v>
      </c>
      <c r="G29" s="16" t="s">
        <v>7</v>
      </c>
      <c r="H29" s="356" t="s">
        <v>441</v>
      </c>
      <c r="I29" s="398">
        <f t="shared" si="0"/>
        <v>1.46</v>
      </c>
      <c r="J29" s="399">
        <v>36.5</v>
      </c>
      <c r="K29" s="143">
        <f t="shared" si="1"/>
        <v>1.46</v>
      </c>
    </row>
    <row r="30" spans="1:11" x14ac:dyDescent="0.2">
      <c r="A30" s="28" t="s">
        <v>477</v>
      </c>
      <c r="B30" s="14" t="s">
        <v>606</v>
      </c>
      <c r="C30" s="19">
        <v>32</v>
      </c>
      <c r="D30" s="21">
        <f t="shared" si="7"/>
        <v>5.5277249956814647E-3</v>
      </c>
      <c r="E30" s="16" t="s">
        <v>616</v>
      </c>
      <c r="F30" s="16" t="s">
        <v>458</v>
      </c>
      <c r="G30" s="16" t="s">
        <v>6</v>
      </c>
      <c r="H30" s="356" t="s">
        <v>459</v>
      </c>
      <c r="I30" s="398">
        <f t="shared" si="0"/>
        <v>1.1679999999999999</v>
      </c>
      <c r="J30" s="399">
        <v>36.5</v>
      </c>
      <c r="K30" s="143">
        <f t="shared" si="1"/>
        <v>1.1679999999999999</v>
      </c>
    </row>
    <row r="31" spans="1:11" x14ac:dyDescent="0.2">
      <c r="A31" s="28" t="s">
        <v>473</v>
      </c>
      <c r="B31" s="14" t="s">
        <v>572</v>
      </c>
      <c r="C31" s="19">
        <v>29</v>
      </c>
      <c r="D31" s="21">
        <f t="shared" si="7"/>
        <v>5.0095007773363273E-3</v>
      </c>
      <c r="E31" s="16" t="s">
        <v>616</v>
      </c>
      <c r="F31" s="16" t="s">
        <v>458</v>
      </c>
      <c r="G31" s="16" t="s">
        <v>6</v>
      </c>
      <c r="H31" s="356" t="s">
        <v>459</v>
      </c>
      <c r="I31" s="398">
        <f t="shared" si="0"/>
        <v>1.0585</v>
      </c>
      <c r="J31" s="399">
        <v>36.5</v>
      </c>
      <c r="K31" s="143">
        <f t="shared" si="1"/>
        <v>1.0585</v>
      </c>
    </row>
    <row r="32" spans="1:11" x14ac:dyDescent="0.2">
      <c r="A32" s="28" t="s">
        <v>463</v>
      </c>
      <c r="B32" s="14" t="s">
        <v>464</v>
      </c>
      <c r="C32" s="19">
        <v>29</v>
      </c>
      <c r="D32" s="21">
        <f t="shared" si="7"/>
        <v>5.0095007773363273E-3</v>
      </c>
      <c r="E32" s="16" t="s">
        <v>105</v>
      </c>
      <c r="F32" s="16" t="s">
        <v>458</v>
      </c>
      <c r="G32" s="16" t="s">
        <v>6</v>
      </c>
      <c r="H32" s="356" t="s">
        <v>459</v>
      </c>
      <c r="I32" s="398">
        <f t="shared" si="0"/>
        <v>1.0585</v>
      </c>
      <c r="J32" s="399">
        <v>36.5</v>
      </c>
      <c r="K32" s="143">
        <f t="shared" si="1"/>
        <v>1.0585</v>
      </c>
    </row>
    <row r="33" spans="1:11" x14ac:dyDescent="0.2">
      <c r="A33" s="28" t="s">
        <v>566</v>
      </c>
      <c r="B33" s="14" t="s">
        <v>595</v>
      </c>
      <c r="C33" s="19">
        <v>24</v>
      </c>
      <c r="D33" s="21">
        <f t="shared" si="7"/>
        <v>4.1457937467610983E-3</v>
      </c>
      <c r="E33" s="16" t="s">
        <v>616</v>
      </c>
      <c r="F33" s="16" t="s">
        <v>458</v>
      </c>
      <c r="G33" s="16" t="s">
        <v>6</v>
      </c>
      <c r="H33" s="356" t="s">
        <v>459</v>
      </c>
      <c r="I33" s="398">
        <f t="shared" ref="I33:I111" si="12">C33*J33/1000</f>
        <v>0.876</v>
      </c>
      <c r="J33" s="399">
        <v>36.5</v>
      </c>
      <c r="K33" s="143">
        <f t="shared" si="1"/>
        <v>0.876</v>
      </c>
    </row>
    <row r="34" spans="1:11" x14ac:dyDescent="0.2">
      <c r="A34" s="28" t="s">
        <v>474</v>
      </c>
      <c r="B34" s="14" t="s">
        <v>601</v>
      </c>
      <c r="C34" s="19">
        <v>24</v>
      </c>
      <c r="D34" s="21">
        <f t="shared" si="6"/>
        <v>4.1457937467610983E-3</v>
      </c>
      <c r="E34" s="16" t="s">
        <v>616</v>
      </c>
      <c r="F34" s="16" t="s">
        <v>458</v>
      </c>
      <c r="G34" s="16" t="s">
        <v>6</v>
      </c>
      <c r="H34" s="356" t="s">
        <v>459</v>
      </c>
      <c r="I34" s="398">
        <f t="shared" si="12"/>
        <v>0.876</v>
      </c>
      <c r="J34" s="399">
        <v>36.5</v>
      </c>
      <c r="K34" s="143">
        <f t="shared" si="1"/>
        <v>0.876</v>
      </c>
    </row>
    <row r="35" spans="1:11" x14ac:dyDescent="0.2">
      <c r="A35" s="28" t="s">
        <v>461</v>
      </c>
      <c r="B35" s="14" t="s">
        <v>460</v>
      </c>
      <c r="C35" s="19">
        <v>20</v>
      </c>
      <c r="D35" s="21">
        <f t="shared" si="6"/>
        <v>3.4548281223009156E-3</v>
      </c>
      <c r="E35" s="16" t="s">
        <v>616</v>
      </c>
      <c r="F35" s="16" t="s">
        <v>458</v>
      </c>
      <c r="G35" s="16" t="s">
        <v>6</v>
      </c>
      <c r="H35" s="356" t="s">
        <v>459</v>
      </c>
      <c r="I35" s="398">
        <f t="shared" si="12"/>
        <v>0.73</v>
      </c>
      <c r="J35" s="399">
        <v>36.5</v>
      </c>
      <c r="K35" s="143">
        <f t="shared" si="1"/>
        <v>0.73</v>
      </c>
    </row>
    <row r="36" spans="1:11" x14ac:dyDescent="0.2">
      <c r="A36" s="28" t="s">
        <v>520</v>
      </c>
      <c r="B36" s="14" t="s">
        <v>519</v>
      </c>
      <c r="C36" s="19">
        <v>20</v>
      </c>
      <c r="D36" s="21">
        <f t="shared" ref="D36:D45" si="13">C36/$C$1</f>
        <v>3.4548281223009156E-3</v>
      </c>
      <c r="E36" s="16" t="s">
        <v>616</v>
      </c>
      <c r="F36" s="16" t="s">
        <v>458</v>
      </c>
      <c r="G36" s="16" t="s">
        <v>6</v>
      </c>
      <c r="H36" s="356" t="s">
        <v>459</v>
      </c>
      <c r="I36" s="398">
        <f t="shared" ref="I36:I49" si="14">C36*J36/1000</f>
        <v>0.73</v>
      </c>
      <c r="J36" s="399">
        <v>36.5</v>
      </c>
      <c r="K36" s="143">
        <f t="shared" si="1"/>
        <v>0.73</v>
      </c>
    </row>
    <row r="37" spans="1:11" x14ac:dyDescent="0.2">
      <c r="A37" s="28" t="s">
        <v>491</v>
      </c>
      <c r="B37" s="14" t="s">
        <v>492</v>
      </c>
      <c r="C37" s="19">
        <v>20</v>
      </c>
      <c r="D37" s="21">
        <f t="shared" si="13"/>
        <v>3.4548281223009156E-3</v>
      </c>
      <c r="E37" s="16" t="s">
        <v>616</v>
      </c>
      <c r="F37" s="16" t="s">
        <v>486</v>
      </c>
      <c r="G37" s="16" t="s">
        <v>6</v>
      </c>
      <c r="H37" s="356" t="s">
        <v>459</v>
      </c>
      <c r="I37" s="398">
        <f t="shared" si="14"/>
        <v>0.73</v>
      </c>
      <c r="J37" s="399">
        <v>36.5</v>
      </c>
      <c r="K37" s="143">
        <f t="shared" si="1"/>
        <v>0.73</v>
      </c>
    </row>
    <row r="38" spans="1:11" x14ac:dyDescent="0.2">
      <c r="A38" s="28" t="s">
        <v>462</v>
      </c>
      <c r="B38" s="14" t="s">
        <v>493</v>
      </c>
      <c r="C38" s="19">
        <v>17</v>
      </c>
      <c r="D38" s="21">
        <f t="shared" si="13"/>
        <v>2.9366039039557782E-3</v>
      </c>
      <c r="E38" s="16" t="s">
        <v>616</v>
      </c>
      <c r="F38" s="16" t="s">
        <v>458</v>
      </c>
      <c r="G38" s="16" t="s">
        <v>6</v>
      </c>
      <c r="H38" s="356" t="s">
        <v>459</v>
      </c>
      <c r="I38" s="398">
        <f t="shared" si="14"/>
        <v>0.62050000000000005</v>
      </c>
      <c r="J38" s="399">
        <v>36.5</v>
      </c>
      <c r="K38" s="143">
        <f t="shared" si="1"/>
        <v>0.62050000000000005</v>
      </c>
    </row>
    <row r="39" spans="1:11" x14ac:dyDescent="0.2">
      <c r="A39" s="28" t="s">
        <v>526</v>
      </c>
      <c r="B39" s="14" t="s">
        <v>525</v>
      </c>
      <c r="C39" s="19">
        <v>16</v>
      </c>
      <c r="D39" s="21">
        <f t="shared" si="13"/>
        <v>2.7638624978407324E-3</v>
      </c>
      <c r="E39" s="16" t="s">
        <v>616</v>
      </c>
      <c r="F39" s="16" t="s">
        <v>458</v>
      </c>
      <c r="G39" s="16" t="s">
        <v>6</v>
      </c>
      <c r="H39" s="356" t="s">
        <v>459</v>
      </c>
      <c r="I39" s="398">
        <f t="shared" si="14"/>
        <v>0.58399999999999996</v>
      </c>
      <c r="J39" s="399">
        <v>36.5</v>
      </c>
      <c r="K39" s="143">
        <f t="shared" si="1"/>
        <v>0.58399999999999996</v>
      </c>
    </row>
    <row r="40" spans="1:11" x14ac:dyDescent="0.2">
      <c r="A40" s="28" t="s">
        <v>509</v>
      </c>
      <c r="B40" s="14" t="s">
        <v>510</v>
      </c>
      <c r="C40" s="19">
        <v>15</v>
      </c>
      <c r="D40" s="21">
        <f t="shared" si="13"/>
        <v>2.5911210917256866E-3</v>
      </c>
      <c r="E40" s="16" t="s">
        <v>616</v>
      </c>
      <c r="F40" s="16" t="s">
        <v>486</v>
      </c>
      <c r="G40" s="16" t="s">
        <v>6</v>
      </c>
      <c r="H40" s="356" t="s">
        <v>441</v>
      </c>
      <c r="I40" s="398">
        <f t="shared" si="14"/>
        <v>0.54749999999999999</v>
      </c>
      <c r="J40" s="399">
        <v>36.5</v>
      </c>
      <c r="K40" s="143">
        <f t="shared" si="1"/>
        <v>0.54749999999999999</v>
      </c>
    </row>
    <row r="41" spans="1:11" x14ac:dyDescent="0.2">
      <c r="A41" s="28" t="s">
        <v>73</v>
      </c>
      <c r="B41" s="14" t="s">
        <v>594</v>
      </c>
      <c r="C41" s="19">
        <v>15</v>
      </c>
      <c r="D41" s="21">
        <f t="shared" si="13"/>
        <v>2.5911210917256866E-3</v>
      </c>
      <c r="E41" s="16" t="s">
        <v>562</v>
      </c>
      <c r="F41" s="16" t="s">
        <v>458</v>
      </c>
      <c r="G41" s="16" t="s">
        <v>7</v>
      </c>
      <c r="H41" s="356" t="s">
        <v>459</v>
      </c>
      <c r="I41" s="398">
        <f t="shared" si="14"/>
        <v>0.54749999999999999</v>
      </c>
      <c r="J41" s="399">
        <v>36.5</v>
      </c>
      <c r="K41" s="143">
        <f t="shared" si="1"/>
        <v>0.54749999999999999</v>
      </c>
    </row>
    <row r="42" spans="1:11" x14ac:dyDescent="0.2">
      <c r="A42" s="28" t="s">
        <v>497</v>
      </c>
      <c r="B42" s="14" t="s">
        <v>498</v>
      </c>
      <c r="C42" s="19">
        <v>14</v>
      </c>
      <c r="D42" s="21">
        <f t="shared" si="13"/>
        <v>2.4183796856106408E-3</v>
      </c>
      <c r="E42" s="16" t="s">
        <v>105</v>
      </c>
      <c r="F42" s="16" t="s">
        <v>458</v>
      </c>
      <c r="G42" s="16" t="s">
        <v>6</v>
      </c>
      <c r="H42" s="356" t="s">
        <v>459</v>
      </c>
      <c r="I42" s="398">
        <f t="shared" si="14"/>
        <v>0.51100000000000001</v>
      </c>
      <c r="J42" s="399">
        <v>36.5</v>
      </c>
      <c r="K42" s="143">
        <f t="shared" si="1"/>
        <v>0.51100000000000001</v>
      </c>
    </row>
    <row r="43" spans="1:11" x14ac:dyDescent="0.2">
      <c r="A43" s="28" t="s">
        <v>8</v>
      </c>
      <c r="B43" s="14" t="s">
        <v>52</v>
      </c>
      <c r="C43" s="19">
        <v>12</v>
      </c>
      <c r="D43" s="21">
        <f t="shared" si="13"/>
        <v>2.0728968733805492E-3</v>
      </c>
      <c r="E43" s="16" t="s">
        <v>616</v>
      </c>
      <c r="F43" s="16" t="s">
        <v>458</v>
      </c>
      <c r="G43" s="16" t="s">
        <v>6</v>
      </c>
      <c r="H43" s="356" t="s">
        <v>459</v>
      </c>
      <c r="I43" s="398">
        <f t="shared" si="14"/>
        <v>0.438</v>
      </c>
      <c r="J43" s="399">
        <v>36.5</v>
      </c>
      <c r="K43" s="143">
        <f t="shared" si="1"/>
        <v>0.438</v>
      </c>
    </row>
    <row r="44" spans="1:11" x14ac:dyDescent="0.2">
      <c r="A44" s="201" t="s">
        <v>476</v>
      </c>
      <c r="B44" s="93" t="s">
        <v>587</v>
      </c>
      <c r="C44" s="64">
        <v>12</v>
      </c>
      <c r="D44" s="100">
        <f t="shared" si="13"/>
        <v>2.0728968733805492E-3</v>
      </c>
      <c r="E44" s="57" t="s">
        <v>616</v>
      </c>
      <c r="F44" s="57" t="s">
        <v>458</v>
      </c>
      <c r="G44" s="57" t="s">
        <v>7</v>
      </c>
      <c r="H44" s="363" t="s">
        <v>459</v>
      </c>
      <c r="I44" s="404">
        <f t="shared" si="14"/>
        <v>0.438</v>
      </c>
      <c r="J44" s="405">
        <v>36.5</v>
      </c>
      <c r="K44" s="143">
        <f t="shared" si="1"/>
        <v>0.438</v>
      </c>
    </row>
    <row r="45" spans="1:11" ht="17" thickBot="1" x14ac:dyDescent="0.25">
      <c r="A45" s="62" t="s">
        <v>479</v>
      </c>
      <c r="B45" s="51" t="s">
        <v>480</v>
      </c>
      <c r="C45" s="200">
        <v>12</v>
      </c>
      <c r="D45" s="118">
        <f t="shared" si="13"/>
        <v>2.0728968733805492E-3</v>
      </c>
      <c r="E45" s="54" t="s">
        <v>616</v>
      </c>
      <c r="F45" s="54" t="s">
        <v>458</v>
      </c>
      <c r="G45" s="54" t="s">
        <v>6</v>
      </c>
      <c r="H45" s="358" t="s">
        <v>459</v>
      </c>
      <c r="I45" s="402">
        <f t="shared" si="14"/>
        <v>0.438</v>
      </c>
      <c r="J45" s="403">
        <v>36.5</v>
      </c>
      <c r="K45" s="143">
        <f t="shared" si="1"/>
        <v>0.438</v>
      </c>
    </row>
    <row r="46" spans="1:11" x14ac:dyDescent="0.2">
      <c r="A46" s="22" t="s">
        <v>545</v>
      </c>
      <c r="B46" s="23" t="s">
        <v>528</v>
      </c>
      <c r="C46" s="131">
        <v>5</v>
      </c>
      <c r="D46" s="121">
        <f>C46/$C$1</f>
        <v>8.6370703057522889E-4</v>
      </c>
      <c r="E46" s="26" t="s">
        <v>616</v>
      </c>
      <c r="F46" s="26" t="s">
        <v>486</v>
      </c>
      <c r="G46" s="26" t="s">
        <v>7</v>
      </c>
      <c r="H46" s="355" t="s">
        <v>459</v>
      </c>
      <c r="I46" s="396">
        <f t="shared" si="14"/>
        <v>0.1825</v>
      </c>
      <c r="J46" s="397">
        <v>36.5</v>
      </c>
      <c r="K46" s="143">
        <f t="shared" si="1"/>
        <v>0.1825</v>
      </c>
    </row>
    <row r="47" spans="1:11" ht="17" thickBot="1" x14ac:dyDescent="0.25">
      <c r="A47" s="30" t="s">
        <v>545</v>
      </c>
      <c r="B47" s="31" t="s">
        <v>546</v>
      </c>
      <c r="C47" s="133">
        <v>2</v>
      </c>
      <c r="D47" s="123">
        <f>C47/$C$1</f>
        <v>3.4548281223009154E-4</v>
      </c>
      <c r="E47" s="34" t="s">
        <v>616</v>
      </c>
      <c r="F47" s="34" t="s">
        <v>458</v>
      </c>
      <c r="G47" s="34" t="s">
        <v>6</v>
      </c>
      <c r="H47" s="357" t="s">
        <v>459</v>
      </c>
      <c r="I47" s="400">
        <f t="shared" si="14"/>
        <v>7.2999999999999995E-2</v>
      </c>
      <c r="J47" s="401">
        <v>36.5</v>
      </c>
      <c r="K47" s="143">
        <f t="shared" si="1"/>
        <v>7.2999999999999995E-2</v>
      </c>
    </row>
    <row r="48" spans="1:11" x14ac:dyDescent="0.2">
      <c r="A48" s="22" t="s">
        <v>558</v>
      </c>
      <c r="B48" s="23" t="s">
        <v>436</v>
      </c>
      <c r="C48" s="131">
        <v>8</v>
      </c>
      <c r="D48" s="121">
        <f>C48/$C$1</f>
        <v>1.3819312489203662E-3</v>
      </c>
      <c r="E48" s="26" t="s">
        <v>656</v>
      </c>
      <c r="F48" s="26" t="s">
        <v>486</v>
      </c>
      <c r="G48" s="26" t="s">
        <v>7</v>
      </c>
      <c r="H48" s="355" t="s">
        <v>441</v>
      </c>
      <c r="I48" s="396">
        <f t="shared" si="14"/>
        <v>0.29199999999999998</v>
      </c>
      <c r="J48" s="397">
        <v>36.5</v>
      </c>
      <c r="K48" s="143">
        <f t="shared" si="1"/>
        <v>0.29199999999999998</v>
      </c>
    </row>
    <row r="49" spans="1:11" ht="17" thickBot="1" x14ac:dyDescent="0.25">
      <c r="A49" s="30" t="s">
        <v>558</v>
      </c>
      <c r="B49" s="31" t="s">
        <v>609</v>
      </c>
      <c r="C49" s="133">
        <v>8</v>
      </c>
      <c r="D49" s="123">
        <f>C49/$C$1</f>
        <v>1.3819312489203662E-3</v>
      </c>
      <c r="E49" s="34" t="s">
        <v>616</v>
      </c>
      <c r="F49" s="34" t="s">
        <v>486</v>
      </c>
      <c r="G49" s="34" t="s">
        <v>7</v>
      </c>
      <c r="H49" s="357" t="s">
        <v>441</v>
      </c>
      <c r="I49" s="400">
        <f t="shared" si="14"/>
        <v>0.29199999999999998</v>
      </c>
      <c r="J49" s="401">
        <v>36.5</v>
      </c>
      <c r="K49" s="143">
        <f t="shared" si="1"/>
        <v>0.29199999999999998</v>
      </c>
    </row>
    <row r="50" spans="1:11" x14ac:dyDescent="0.2">
      <c r="A50" s="201" t="s">
        <v>466</v>
      </c>
      <c r="B50" s="93" t="s">
        <v>467</v>
      </c>
      <c r="C50" s="64">
        <v>6</v>
      </c>
      <c r="D50" s="100">
        <f t="shared" ref="D50:D53" si="15">C50/$C$1</f>
        <v>1.0364484366902746E-3</v>
      </c>
      <c r="E50" s="57" t="s">
        <v>105</v>
      </c>
      <c r="F50" s="57" t="s">
        <v>458</v>
      </c>
      <c r="G50" s="57" t="s">
        <v>6</v>
      </c>
      <c r="H50" s="363" t="s">
        <v>459</v>
      </c>
      <c r="I50" s="404">
        <f t="shared" ref="I50:I53" si="16">C50*J50/1000</f>
        <v>0.219</v>
      </c>
      <c r="J50" s="405">
        <v>36.5</v>
      </c>
      <c r="K50" s="143">
        <f t="shared" si="1"/>
        <v>0.219</v>
      </c>
    </row>
    <row r="51" spans="1:11" x14ac:dyDescent="0.2">
      <c r="A51" s="28" t="s">
        <v>465</v>
      </c>
      <c r="B51" s="14" t="s">
        <v>600</v>
      </c>
      <c r="C51" s="19">
        <v>3</v>
      </c>
      <c r="D51" s="21">
        <f t="shared" si="15"/>
        <v>5.1822421834513729E-4</v>
      </c>
      <c r="E51" s="16" t="s">
        <v>105</v>
      </c>
      <c r="F51" s="16" t="s">
        <v>458</v>
      </c>
      <c r="G51" s="16" t="s">
        <v>6</v>
      </c>
      <c r="H51" s="356" t="s">
        <v>459</v>
      </c>
      <c r="I51" s="398">
        <f t="shared" si="16"/>
        <v>0.1095</v>
      </c>
      <c r="J51" s="399">
        <v>36.5</v>
      </c>
      <c r="K51" s="143">
        <f t="shared" si="1"/>
        <v>0.1095</v>
      </c>
    </row>
    <row r="52" spans="1:11" x14ac:dyDescent="0.2">
      <c r="A52" s="28" t="s">
        <v>468</v>
      </c>
      <c r="B52" s="14" t="s">
        <v>469</v>
      </c>
      <c r="C52" s="19">
        <v>2</v>
      </c>
      <c r="D52" s="21">
        <f t="shared" si="15"/>
        <v>3.4548281223009154E-4</v>
      </c>
      <c r="E52" s="16" t="s">
        <v>105</v>
      </c>
      <c r="F52" s="16" t="s">
        <v>458</v>
      </c>
      <c r="G52" s="16" t="s">
        <v>7</v>
      </c>
      <c r="H52" s="356" t="s">
        <v>459</v>
      </c>
      <c r="I52" s="398">
        <f t="shared" si="16"/>
        <v>7.2999999999999995E-2</v>
      </c>
      <c r="J52" s="399">
        <v>36.5</v>
      </c>
      <c r="K52" s="143">
        <f t="shared" si="1"/>
        <v>7.2999999999999995E-2</v>
      </c>
    </row>
    <row r="53" spans="1:11" x14ac:dyDescent="0.2">
      <c r="A53" s="28" t="s">
        <v>470</v>
      </c>
      <c r="B53" s="14" t="s">
        <v>471</v>
      </c>
      <c r="C53" s="19">
        <v>3</v>
      </c>
      <c r="D53" s="21">
        <f t="shared" si="15"/>
        <v>5.1822421834513729E-4</v>
      </c>
      <c r="E53" s="16" t="s">
        <v>105</v>
      </c>
      <c r="F53" s="16" t="s">
        <v>458</v>
      </c>
      <c r="G53" s="16" t="s">
        <v>6</v>
      </c>
      <c r="H53" s="356" t="s">
        <v>459</v>
      </c>
      <c r="I53" s="398">
        <f t="shared" si="16"/>
        <v>0.1095</v>
      </c>
      <c r="J53" s="399">
        <v>36.5</v>
      </c>
      <c r="K53" s="143">
        <f t="shared" si="1"/>
        <v>0.1095</v>
      </c>
    </row>
    <row r="54" spans="1:11" x14ac:dyDescent="0.2">
      <c r="A54" s="28" t="s">
        <v>481</v>
      </c>
      <c r="B54" s="14" t="s">
        <v>460</v>
      </c>
      <c r="C54" s="19">
        <v>8</v>
      </c>
      <c r="D54" s="21">
        <f t="shared" si="6"/>
        <v>1.3819312489203662E-3</v>
      </c>
      <c r="E54" s="16" t="s">
        <v>616</v>
      </c>
      <c r="F54" s="16" t="s">
        <v>458</v>
      </c>
      <c r="G54" s="16" t="s">
        <v>6</v>
      </c>
      <c r="H54" s="356" t="s">
        <v>459</v>
      </c>
      <c r="I54" s="398">
        <f t="shared" si="12"/>
        <v>0.29199999999999998</v>
      </c>
      <c r="J54" s="399">
        <v>36.5</v>
      </c>
      <c r="K54" s="143">
        <f t="shared" si="1"/>
        <v>0.29199999999999998</v>
      </c>
    </row>
    <row r="55" spans="1:11" x14ac:dyDescent="0.2">
      <c r="A55" s="28" t="s">
        <v>482</v>
      </c>
      <c r="B55" s="14" t="s">
        <v>478</v>
      </c>
      <c r="C55" s="19">
        <v>2</v>
      </c>
      <c r="D55" s="21">
        <f t="shared" si="6"/>
        <v>3.4548281223009154E-4</v>
      </c>
      <c r="E55" s="16" t="s">
        <v>616</v>
      </c>
      <c r="F55" s="16" t="s">
        <v>458</v>
      </c>
      <c r="G55" s="16" t="s">
        <v>6</v>
      </c>
      <c r="H55" s="356" t="s">
        <v>459</v>
      </c>
      <c r="I55" s="398">
        <f t="shared" si="12"/>
        <v>7.2999999999999995E-2</v>
      </c>
      <c r="J55" s="399">
        <v>36.5</v>
      </c>
      <c r="K55" s="143">
        <f t="shared" si="1"/>
        <v>7.2999999999999995E-2</v>
      </c>
    </row>
    <row r="56" spans="1:11" x14ac:dyDescent="0.2">
      <c r="A56" s="28" t="s">
        <v>483</v>
      </c>
      <c r="B56" s="14" t="s">
        <v>567</v>
      </c>
      <c r="C56" s="19">
        <v>4</v>
      </c>
      <c r="D56" s="21">
        <f t="shared" si="6"/>
        <v>6.9096562446018309E-4</v>
      </c>
      <c r="E56" s="16" t="s">
        <v>616</v>
      </c>
      <c r="F56" s="16" t="s">
        <v>458</v>
      </c>
      <c r="G56" s="16" t="s">
        <v>6</v>
      </c>
      <c r="H56" s="356" t="s">
        <v>459</v>
      </c>
      <c r="I56" s="398">
        <f t="shared" si="12"/>
        <v>0.14599999999999999</v>
      </c>
      <c r="J56" s="399">
        <v>36.5</v>
      </c>
      <c r="K56" s="143">
        <f t="shared" si="1"/>
        <v>0.14599999999999999</v>
      </c>
    </row>
    <row r="57" spans="1:11" x14ac:dyDescent="0.2">
      <c r="A57" s="28" t="s">
        <v>484</v>
      </c>
      <c r="B57" s="305" t="s">
        <v>485</v>
      </c>
      <c r="C57" s="19">
        <v>2</v>
      </c>
      <c r="D57" s="21">
        <f t="shared" si="6"/>
        <v>3.4548281223009154E-4</v>
      </c>
      <c r="E57" s="16" t="s">
        <v>616</v>
      </c>
      <c r="F57" s="16" t="s">
        <v>486</v>
      </c>
      <c r="G57" s="16" t="s">
        <v>6</v>
      </c>
      <c r="H57" s="356" t="s">
        <v>459</v>
      </c>
      <c r="I57" s="398">
        <f t="shared" si="12"/>
        <v>7.2999999999999995E-2</v>
      </c>
      <c r="J57" s="399">
        <v>36.5</v>
      </c>
      <c r="K57" s="143">
        <f t="shared" si="1"/>
        <v>7.2999999999999995E-2</v>
      </c>
    </row>
    <row r="58" spans="1:11" x14ac:dyDescent="0.2">
      <c r="A58" s="201" t="s">
        <v>488</v>
      </c>
      <c r="B58" s="93" t="s">
        <v>489</v>
      </c>
      <c r="C58" s="64">
        <v>4</v>
      </c>
      <c r="D58" s="100">
        <f t="shared" si="6"/>
        <v>6.9096562446018309E-4</v>
      </c>
      <c r="E58" s="57" t="s">
        <v>616</v>
      </c>
      <c r="F58" s="57" t="s">
        <v>486</v>
      </c>
      <c r="G58" s="57" t="s">
        <v>6</v>
      </c>
      <c r="H58" s="363" t="s">
        <v>459</v>
      </c>
      <c r="I58" s="404">
        <f t="shared" si="12"/>
        <v>0.14599999999999999</v>
      </c>
      <c r="J58" s="405">
        <v>36.5</v>
      </c>
      <c r="K58" s="143">
        <f t="shared" si="1"/>
        <v>0.14599999999999999</v>
      </c>
    </row>
    <row r="59" spans="1:11" x14ac:dyDescent="0.2">
      <c r="A59" s="28" t="s">
        <v>496</v>
      </c>
      <c r="B59" s="14" t="s">
        <v>495</v>
      </c>
      <c r="C59" s="19">
        <v>6</v>
      </c>
      <c r="D59" s="21">
        <f t="shared" si="6"/>
        <v>1.0364484366902746E-3</v>
      </c>
      <c r="E59" s="16" t="s">
        <v>616</v>
      </c>
      <c r="F59" s="16" t="s">
        <v>486</v>
      </c>
      <c r="G59" s="16" t="s">
        <v>6</v>
      </c>
      <c r="H59" s="356" t="s">
        <v>459</v>
      </c>
      <c r="I59" s="398">
        <f t="shared" si="12"/>
        <v>0.219</v>
      </c>
      <c r="J59" s="399">
        <v>36.5</v>
      </c>
      <c r="K59" s="143">
        <f t="shared" si="1"/>
        <v>0.219</v>
      </c>
    </row>
    <row r="60" spans="1:11" x14ac:dyDescent="0.2">
      <c r="A60" s="28" t="s">
        <v>501</v>
      </c>
      <c r="B60" s="14" t="s">
        <v>502</v>
      </c>
      <c r="C60" s="19">
        <v>2</v>
      </c>
      <c r="D60" s="21">
        <f t="shared" si="6"/>
        <v>3.4548281223009154E-4</v>
      </c>
      <c r="E60" s="16" t="s">
        <v>616</v>
      </c>
      <c r="F60" s="16" t="s">
        <v>458</v>
      </c>
      <c r="G60" s="16" t="s">
        <v>6</v>
      </c>
      <c r="H60" s="356" t="s">
        <v>459</v>
      </c>
      <c r="I60" s="398">
        <f t="shared" si="12"/>
        <v>7.2999999999999995E-2</v>
      </c>
      <c r="J60" s="399">
        <v>36.5</v>
      </c>
      <c r="K60" s="143">
        <f t="shared" si="1"/>
        <v>7.2999999999999995E-2</v>
      </c>
    </row>
    <row r="61" spans="1:11" x14ac:dyDescent="0.2">
      <c r="A61" s="28" t="s">
        <v>503</v>
      </c>
      <c r="B61" s="14" t="s">
        <v>504</v>
      </c>
      <c r="C61" s="19">
        <v>2</v>
      </c>
      <c r="D61" s="21">
        <f t="shared" si="6"/>
        <v>3.4548281223009154E-4</v>
      </c>
      <c r="E61" s="16" t="s">
        <v>616</v>
      </c>
      <c r="F61" s="16" t="s">
        <v>458</v>
      </c>
      <c r="G61" s="16" t="s">
        <v>6</v>
      </c>
      <c r="H61" s="356" t="s">
        <v>459</v>
      </c>
      <c r="I61" s="398">
        <f t="shared" si="12"/>
        <v>7.2999999999999995E-2</v>
      </c>
      <c r="J61" s="399">
        <v>36.5</v>
      </c>
      <c r="K61" s="143">
        <f t="shared" ref="K61:K124" si="17">C61*J61/1000</f>
        <v>7.2999999999999995E-2</v>
      </c>
    </row>
    <row r="62" spans="1:11" x14ac:dyDescent="0.2">
      <c r="A62" s="28" t="s">
        <v>505</v>
      </c>
      <c r="B62" s="14" t="s">
        <v>506</v>
      </c>
      <c r="C62" s="19">
        <v>4</v>
      </c>
      <c r="D62" s="21">
        <f t="shared" si="6"/>
        <v>6.9096562446018309E-4</v>
      </c>
      <c r="E62" s="16" t="s">
        <v>105</v>
      </c>
      <c r="F62" s="16" t="s">
        <v>486</v>
      </c>
      <c r="G62" s="16" t="s">
        <v>6</v>
      </c>
      <c r="H62" s="356" t="s">
        <v>441</v>
      </c>
      <c r="I62" s="398">
        <f t="shared" si="12"/>
        <v>0.14599999999999999</v>
      </c>
      <c r="J62" s="399">
        <v>36.5</v>
      </c>
      <c r="K62" s="143">
        <f t="shared" si="17"/>
        <v>0.14599999999999999</v>
      </c>
    </row>
    <row r="63" spans="1:11" x14ac:dyDescent="0.2">
      <c r="A63" s="28" t="s">
        <v>507</v>
      </c>
      <c r="B63" s="14" t="s">
        <v>508</v>
      </c>
      <c r="C63" s="19">
        <v>2</v>
      </c>
      <c r="D63" s="21">
        <f t="shared" si="6"/>
        <v>3.4548281223009154E-4</v>
      </c>
      <c r="E63" s="16" t="s">
        <v>656</v>
      </c>
      <c r="F63" s="16" t="s">
        <v>486</v>
      </c>
      <c r="G63" s="16" t="s">
        <v>6</v>
      </c>
      <c r="H63" s="356" t="s">
        <v>441</v>
      </c>
      <c r="I63" s="398">
        <f t="shared" si="12"/>
        <v>7.2999999999999995E-2</v>
      </c>
      <c r="J63" s="399">
        <v>36.5</v>
      </c>
      <c r="K63" s="143">
        <f t="shared" si="17"/>
        <v>7.2999999999999995E-2</v>
      </c>
    </row>
    <row r="64" spans="1:11" x14ac:dyDescent="0.2">
      <c r="A64" s="28" t="s">
        <v>511</v>
      </c>
      <c r="B64" s="14" t="s">
        <v>512</v>
      </c>
      <c r="C64" s="19">
        <v>3</v>
      </c>
      <c r="D64" s="21">
        <f t="shared" si="6"/>
        <v>5.1822421834513729E-4</v>
      </c>
      <c r="E64" s="16" t="s">
        <v>293</v>
      </c>
      <c r="F64" s="16" t="s">
        <v>458</v>
      </c>
      <c r="G64" s="16" t="s">
        <v>6</v>
      </c>
      <c r="H64" s="356" t="s">
        <v>459</v>
      </c>
      <c r="I64" s="398">
        <f t="shared" si="12"/>
        <v>0.1095</v>
      </c>
      <c r="J64" s="399">
        <v>36.5</v>
      </c>
      <c r="K64" s="143">
        <f t="shared" si="17"/>
        <v>0.1095</v>
      </c>
    </row>
    <row r="65" spans="1:11" x14ac:dyDescent="0.2">
      <c r="A65" s="28" t="s">
        <v>513</v>
      </c>
      <c r="B65" s="14" t="s">
        <v>514</v>
      </c>
      <c r="C65" s="19">
        <v>8</v>
      </c>
      <c r="D65" s="21">
        <f t="shared" si="6"/>
        <v>1.3819312489203662E-3</v>
      </c>
      <c r="E65" s="16" t="s">
        <v>616</v>
      </c>
      <c r="F65" s="16" t="s">
        <v>458</v>
      </c>
      <c r="G65" s="16" t="s">
        <v>7</v>
      </c>
      <c r="H65" s="356" t="s">
        <v>459</v>
      </c>
      <c r="I65" s="398">
        <f t="shared" si="12"/>
        <v>0.29199999999999998</v>
      </c>
      <c r="J65" s="399">
        <v>36.5</v>
      </c>
      <c r="K65" s="143">
        <f t="shared" si="17"/>
        <v>0.29199999999999998</v>
      </c>
    </row>
    <row r="66" spans="1:11" x14ac:dyDescent="0.2">
      <c r="A66" s="28" t="s">
        <v>515</v>
      </c>
      <c r="B66" s="14" t="s">
        <v>593</v>
      </c>
      <c r="C66" s="19">
        <v>6</v>
      </c>
      <c r="D66" s="21">
        <f t="shared" si="6"/>
        <v>1.0364484366902746E-3</v>
      </c>
      <c r="E66" s="16" t="s">
        <v>616</v>
      </c>
      <c r="F66" s="16" t="s">
        <v>458</v>
      </c>
      <c r="G66" s="16" t="s">
        <v>6</v>
      </c>
      <c r="H66" s="356" t="s">
        <v>459</v>
      </c>
      <c r="I66" s="398">
        <f t="shared" si="12"/>
        <v>0.219</v>
      </c>
      <c r="J66" s="399">
        <v>36.5</v>
      </c>
      <c r="K66" s="143">
        <f t="shared" si="17"/>
        <v>0.219</v>
      </c>
    </row>
    <row r="67" spans="1:11" x14ac:dyDescent="0.2">
      <c r="A67" s="28" t="s">
        <v>516</v>
      </c>
      <c r="B67" s="14" t="s">
        <v>478</v>
      </c>
      <c r="C67" s="19">
        <v>3</v>
      </c>
      <c r="D67" s="21">
        <f t="shared" si="6"/>
        <v>5.1822421834513729E-4</v>
      </c>
      <c r="E67" s="16" t="s">
        <v>616</v>
      </c>
      <c r="F67" s="16" t="s">
        <v>458</v>
      </c>
      <c r="G67" s="16" t="s">
        <v>6</v>
      </c>
      <c r="H67" s="356" t="s">
        <v>459</v>
      </c>
      <c r="I67" s="398">
        <f t="shared" si="12"/>
        <v>0.1095</v>
      </c>
      <c r="J67" s="399">
        <v>36.5</v>
      </c>
      <c r="K67" s="143">
        <f t="shared" si="17"/>
        <v>0.1095</v>
      </c>
    </row>
    <row r="68" spans="1:11" x14ac:dyDescent="0.2">
      <c r="A68" s="28" t="s">
        <v>517</v>
      </c>
      <c r="B68" s="14" t="s">
        <v>478</v>
      </c>
      <c r="C68" s="19">
        <v>8</v>
      </c>
      <c r="D68" s="21">
        <f t="shared" si="6"/>
        <v>1.3819312489203662E-3</v>
      </c>
      <c r="E68" s="16" t="s">
        <v>616</v>
      </c>
      <c r="F68" s="16" t="s">
        <v>458</v>
      </c>
      <c r="G68" s="16" t="s">
        <v>6</v>
      </c>
      <c r="H68" s="356" t="s">
        <v>459</v>
      </c>
      <c r="I68" s="398">
        <f t="shared" si="12"/>
        <v>0.29199999999999998</v>
      </c>
      <c r="J68" s="399">
        <v>36.5</v>
      </c>
      <c r="K68" s="143">
        <f t="shared" si="17"/>
        <v>0.29199999999999998</v>
      </c>
    </row>
    <row r="69" spans="1:11" x14ac:dyDescent="0.2">
      <c r="A69" s="28" t="s">
        <v>531</v>
      </c>
      <c r="B69" s="14" t="s">
        <v>475</v>
      </c>
      <c r="C69" s="19">
        <v>2</v>
      </c>
      <c r="D69" s="21">
        <f t="shared" ref="D69:D80" si="18">C69/$C$1</f>
        <v>3.4548281223009154E-4</v>
      </c>
      <c r="E69" s="16" t="s">
        <v>616</v>
      </c>
      <c r="F69" s="16" t="s">
        <v>458</v>
      </c>
      <c r="G69" s="16" t="s">
        <v>7</v>
      </c>
      <c r="H69" s="356" t="s">
        <v>459</v>
      </c>
      <c r="I69" s="398">
        <f t="shared" ref="I69:I106" si="19">C69*J69/1000</f>
        <v>7.2999999999999995E-2</v>
      </c>
      <c r="J69" s="399">
        <v>36.5</v>
      </c>
      <c r="K69" s="143">
        <f t="shared" si="17"/>
        <v>7.2999999999999995E-2</v>
      </c>
    </row>
    <row r="70" spans="1:11" x14ac:dyDescent="0.2">
      <c r="A70" s="28" t="s">
        <v>532</v>
      </c>
      <c r="B70" s="14" t="s">
        <v>475</v>
      </c>
      <c r="C70" s="19">
        <v>2</v>
      </c>
      <c r="D70" s="21">
        <f t="shared" si="18"/>
        <v>3.4548281223009154E-4</v>
      </c>
      <c r="E70" s="16" t="s">
        <v>616</v>
      </c>
      <c r="F70" s="16" t="s">
        <v>458</v>
      </c>
      <c r="G70" s="16" t="s">
        <v>7</v>
      </c>
      <c r="H70" s="356" t="s">
        <v>459</v>
      </c>
      <c r="I70" s="398">
        <f t="shared" si="19"/>
        <v>7.2999999999999995E-2</v>
      </c>
      <c r="J70" s="399">
        <v>36.5</v>
      </c>
      <c r="K70" s="143">
        <f t="shared" si="17"/>
        <v>7.2999999999999995E-2</v>
      </c>
    </row>
    <row r="71" spans="1:11" x14ac:dyDescent="0.2">
      <c r="A71" s="201" t="s">
        <v>534</v>
      </c>
      <c r="B71" s="93" t="s">
        <v>535</v>
      </c>
      <c r="C71" s="64">
        <v>6</v>
      </c>
      <c r="D71" s="100">
        <f t="shared" si="18"/>
        <v>1.0364484366902746E-3</v>
      </c>
      <c r="E71" s="57" t="s">
        <v>616</v>
      </c>
      <c r="F71" s="57" t="s">
        <v>486</v>
      </c>
      <c r="G71" s="57" t="s">
        <v>7</v>
      </c>
      <c r="H71" s="363" t="s">
        <v>441</v>
      </c>
      <c r="I71" s="404">
        <f t="shared" si="19"/>
        <v>0.219</v>
      </c>
      <c r="J71" s="405">
        <v>36.5</v>
      </c>
      <c r="K71" s="143">
        <f t="shared" si="17"/>
        <v>0.219</v>
      </c>
    </row>
    <row r="72" spans="1:11" x14ac:dyDescent="0.2">
      <c r="A72" s="28" t="s">
        <v>536</v>
      </c>
      <c r="B72" s="14" t="s">
        <v>537</v>
      </c>
      <c r="C72" s="19">
        <v>2</v>
      </c>
      <c r="D72" s="21">
        <f t="shared" si="18"/>
        <v>3.4548281223009154E-4</v>
      </c>
      <c r="E72" s="16" t="s">
        <v>616</v>
      </c>
      <c r="F72" s="16" t="s">
        <v>458</v>
      </c>
      <c r="G72" s="16" t="s">
        <v>7</v>
      </c>
      <c r="H72" s="356" t="s">
        <v>459</v>
      </c>
      <c r="I72" s="398">
        <f t="shared" si="19"/>
        <v>7.2999999999999995E-2</v>
      </c>
      <c r="J72" s="399">
        <v>36.5</v>
      </c>
      <c r="K72" s="143">
        <f t="shared" si="17"/>
        <v>7.2999999999999995E-2</v>
      </c>
    </row>
    <row r="73" spans="1:11" x14ac:dyDescent="0.2">
      <c r="A73" s="28" t="s">
        <v>538</v>
      </c>
      <c r="B73" s="14" t="s">
        <v>539</v>
      </c>
      <c r="C73" s="19">
        <v>3</v>
      </c>
      <c r="D73" s="21">
        <f t="shared" si="18"/>
        <v>5.1822421834513729E-4</v>
      </c>
      <c r="E73" s="16" t="s">
        <v>616</v>
      </c>
      <c r="F73" s="16" t="s">
        <v>458</v>
      </c>
      <c r="G73" s="16" t="s">
        <v>6</v>
      </c>
      <c r="H73" s="356" t="s">
        <v>459</v>
      </c>
      <c r="I73" s="398">
        <f t="shared" si="19"/>
        <v>0.1095</v>
      </c>
      <c r="J73" s="399">
        <v>36.5</v>
      </c>
      <c r="K73" s="143">
        <f t="shared" si="17"/>
        <v>0.1095</v>
      </c>
    </row>
    <row r="74" spans="1:11" x14ac:dyDescent="0.2">
      <c r="A74" s="154" t="s">
        <v>66</v>
      </c>
      <c r="B74" s="14" t="s">
        <v>544</v>
      </c>
      <c r="C74" s="16">
        <v>5</v>
      </c>
      <c r="D74" s="21">
        <f t="shared" si="18"/>
        <v>8.6370703057522889E-4</v>
      </c>
      <c r="E74" s="16" t="s">
        <v>616</v>
      </c>
      <c r="F74" s="16" t="s">
        <v>458</v>
      </c>
      <c r="G74" s="16" t="s">
        <v>7</v>
      </c>
      <c r="H74" s="356" t="s">
        <v>459</v>
      </c>
      <c r="I74" s="398">
        <f t="shared" si="19"/>
        <v>0.1825</v>
      </c>
      <c r="J74" s="399">
        <v>36.5</v>
      </c>
      <c r="K74" s="143">
        <f t="shared" si="17"/>
        <v>0.1825</v>
      </c>
    </row>
    <row r="75" spans="1:11" x14ac:dyDescent="0.2">
      <c r="A75" s="201" t="s">
        <v>547</v>
      </c>
      <c r="B75" s="93" t="s">
        <v>548</v>
      </c>
      <c r="C75" s="64">
        <v>3</v>
      </c>
      <c r="D75" s="100">
        <f t="shared" si="18"/>
        <v>5.1822421834513729E-4</v>
      </c>
      <c r="E75" s="57" t="s">
        <v>230</v>
      </c>
      <c r="F75" s="57" t="s">
        <v>458</v>
      </c>
      <c r="G75" s="57" t="s">
        <v>6</v>
      </c>
      <c r="H75" s="363" t="s">
        <v>459</v>
      </c>
      <c r="I75" s="404">
        <f t="shared" si="19"/>
        <v>0.1095</v>
      </c>
      <c r="J75" s="405">
        <v>36.5</v>
      </c>
      <c r="K75" s="143">
        <f t="shared" si="17"/>
        <v>0.1095</v>
      </c>
    </row>
    <row r="76" spans="1:11" x14ac:dyDescent="0.2">
      <c r="A76" s="28" t="s">
        <v>65</v>
      </c>
      <c r="B76" s="14" t="s">
        <v>549</v>
      </c>
      <c r="C76" s="19">
        <v>2</v>
      </c>
      <c r="D76" s="21">
        <f t="shared" si="18"/>
        <v>3.4548281223009154E-4</v>
      </c>
      <c r="E76" s="16" t="s">
        <v>616</v>
      </c>
      <c r="F76" s="16" t="s">
        <v>486</v>
      </c>
      <c r="G76" s="16" t="s">
        <v>7</v>
      </c>
      <c r="H76" s="356" t="s">
        <v>459</v>
      </c>
      <c r="I76" s="398">
        <f t="shared" si="19"/>
        <v>7.2999999999999995E-2</v>
      </c>
      <c r="J76" s="399">
        <v>36.5</v>
      </c>
      <c r="K76" s="143">
        <f t="shared" si="17"/>
        <v>7.2999999999999995E-2</v>
      </c>
    </row>
    <row r="77" spans="1:11" ht="17" x14ac:dyDescent="0.2">
      <c r="A77" s="28" t="s">
        <v>166</v>
      </c>
      <c r="B77" s="199" t="s">
        <v>167</v>
      </c>
      <c r="C77" s="19">
        <v>3</v>
      </c>
      <c r="D77" s="21">
        <f t="shared" si="18"/>
        <v>5.1822421834513729E-4</v>
      </c>
      <c r="E77" s="16" t="s">
        <v>39</v>
      </c>
      <c r="F77" s="16" t="s">
        <v>486</v>
      </c>
      <c r="G77" s="16" t="s">
        <v>6</v>
      </c>
      <c r="H77" s="356" t="s">
        <v>441</v>
      </c>
      <c r="I77" s="398">
        <f t="shared" si="19"/>
        <v>0.1095</v>
      </c>
      <c r="J77" s="399">
        <v>36.5</v>
      </c>
      <c r="K77" s="143">
        <f t="shared" si="17"/>
        <v>0.1095</v>
      </c>
    </row>
    <row r="78" spans="1:11" x14ac:dyDescent="0.2">
      <c r="A78" s="28" t="s">
        <v>555</v>
      </c>
      <c r="B78" s="14" t="s">
        <v>556</v>
      </c>
      <c r="C78" s="19">
        <v>5</v>
      </c>
      <c r="D78" s="21">
        <f t="shared" si="18"/>
        <v>8.6370703057522889E-4</v>
      </c>
      <c r="E78" s="16" t="s">
        <v>656</v>
      </c>
      <c r="F78" s="16" t="s">
        <v>486</v>
      </c>
      <c r="G78" s="16" t="s">
        <v>6</v>
      </c>
      <c r="H78" s="356" t="s">
        <v>441</v>
      </c>
      <c r="I78" s="398">
        <f t="shared" si="19"/>
        <v>0.1825</v>
      </c>
      <c r="J78" s="399">
        <v>36.5</v>
      </c>
      <c r="K78" s="143">
        <f t="shared" si="17"/>
        <v>0.1825</v>
      </c>
    </row>
    <row r="79" spans="1:11" x14ac:dyDescent="0.2">
      <c r="A79" s="28" t="s">
        <v>565</v>
      </c>
      <c r="B79" s="14" t="s">
        <v>564</v>
      </c>
      <c r="C79" s="19">
        <v>5</v>
      </c>
      <c r="D79" s="21">
        <f t="shared" si="18"/>
        <v>8.6370703057522889E-4</v>
      </c>
      <c r="E79" s="16" t="s">
        <v>105</v>
      </c>
      <c r="F79" s="16" t="s">
        <v>458</v>
      </c>
      <c r="G79" s="16" t="s">
        <v>6</v>
      </c>
      <c r="H79" s="356" t="s">
        <v>459</v>
      </c>
      <c r="I79" s="398">
        <f t="shared" si="19"/>
        <v>0.1825</v>
      </c>
      <c r="J79" s="399">
        <v>36.5</v>
      </c>
      <c r="K79" s="143">
        <f t="shared" si="17"/>
        <v>0.1825</v>
      </c>
    </row>
    <row r="80" spans="1:11" x14ac:dyDescent="0.2">
      <c r="A80" s="28" t="s">
        <v>568</v>
      </c>
      <c r="B80" s="14" t="s">
        <v>478</v>
      </c>
      <c r="C80" s="19">
        <v>2</v>
      </c>
      <c r="D80" s="21">
        <f t="shared" si="18"/>
        <v>3.4548281223009154E-4</v>
      </c>
      <c r="E80" s="16" t="s">
        <v>616</v>
      </c>
      <c r="F80" s="16" t="s">
        <v>458</v>
      </c>
      <c r="G80" s="16" t="s">
        <v>6</v>
      </c>
      <c r="H80" s="356" t="s">
        <v>459</v>
      </c>
      <c r="I80" s="398">
        <f t="shared" si="19"/>
        <v>7.2999999999999995E-2</v>
      </c>
      <c r="J80" s="399">
        <v>36.5</v>
      </c>
      <c r="K80" s="143">
        <f t="shared" si="17"/>
        <v>7.2999999999999995E-2</v>
      </c>
    </row>
    <row r="81" spans="1:11" x14ac:dyDescent="0.2">
      <c r="A81" s="28" t="s">
        <v>569</v>
      </c>
      <c r="B81" s="14" t="s">
        <v>567</v>
      </c>
      <c r="C81" s="19">
        <v>2</v>
      </c>
      <c r="D81" s="21">
        <f t="shared" ref="D81:D90" si="20">C81/$C$1</f>
        <v>3.4548281223009154E-4</v>
      </c>
      <c r="E81" s="16" t="s">
        <v>616</v>
      </c>
      <c r="F81" s="16" t="s">
        <v>458</v>
      </c>
      <c r="G81" s="16" t="s">
        <v>6</v>
      </c>
      <c r="H81" s="356" t="s">
        <v>459</v>
      </c>
      <c r="I81" s="398">
        <f t="shared" si="19"/>
        <v>7.2999999999999995E-2</v>
      </c>
      <c r="J81" s="399">
        <v>36.5</v>
      </c>
      <c r="K81" s="143">
        <f t="shared" si="17"/>
        <v>7.2999999999999995E-2</v>
      </c>
    </row>
    <row r="82" spans="1:11" x14ac:dyDescent="0.2">
      <c r="A82" s="28" t="s">
        <v>574</v>
      </c>
      <c r="B82" s="14" t="s">
        <v>539</v>
      </c>
      <c r="C82" s="19">
        <v>6</v>
      </c>
      <c r="D82" s="21">
        <f t="shared" si="20"/>
        <v>1.0364484366902746E-3</v>
      </c>
      <c r="E82" s="16" t="s">
        <v>616</v>
      </c>
      <c r="F82" s="16" t="s">
        <v>458</v>
      </c>
      <c r="G82" s="16" t="s">
        <v>7</v>
      </c>
      <c r="H82" s="356" t="s">
        <v>459</v>
      </c>
      <c r="I82" s="398">
        <f t="shared" si="19"/>
        <v>0.219</v>
      </c>
      <c r="J82" s="399">
        <v>36.5</v>
      </c>
      <c r="K82" s="143">
        <f t="shared" si="17"/>
        <v>0.219</v>
      </c>
    </row>
    <row r="83" spans="1:11" x14ac:dyDescent="0.2">
      <c r="A83" s="28" t="s">
        <v>575</v>
      </c>
      <c r="B83" s="14" t="s">
        <v>570</v>
      </c>
      <c r="C83" s="19">
        <v>4</v>
      </c>
      <c r="D83" s="21">
        <f t="shared" si="20"/>
        <v>6.9096562446018309E-4</v>
      </c>
      <c r="E83" s="16" t="s">
        <v>562</v>
      </c>
      <c r="F83" s="16" t="s">
        <v>458</v>
      </c>
      <c r="G83" s="16" t="s">
        <v>7</v>
      </c>
      <c r="H83" s="356" t="s">
        <v>459</v>
      </c>
      <c r="I83" s="398">
        <f t="shared" si="19"/>
        <v>0.14599999999999999</v>
      </c>
      <c r="J83" s="399">
        <v>36.5</v>
      </c>
      <c r="K83" s="143">
        <f t="shared" si="17"/>
        <v>0.14599999999999999</v>
      </c>
    </row>
    <row r="84" spans="1:11" x14ac:dyDescent="0.2">
      <c r="A84" s="28" t="s">
        <v>76</v>
      </c>
      <c r="B84" s="14" t="s">
        <v>576</v>
      </c>
      <c r="C84" s="19">
        <v>2</v>
      </c>
      <c r="D84" s="21">
        <f t="shared" si="20"/>
        <v>3.4548281223009154E-4</v>
      </c>
      <c r="E84" s="16" t="s">
        <v>656</v>
      </c>
      <c r="F84" s="16" t="s">
        <v>458</v>
      </c>
      <c r="G84" s="16" t="s">
        <v>7</v>
      </c>
      <c r="H84" s="356" t="s">
        <v>459</v>
      </c>
      <c r="I84" s="398">
        <f t="shared" si="19"/>
        <v>7.2999999999999995E-2</v>
      </c>
      <c r="J84" s="399">
        <v>36.5</v>
      </c>
      <c r="K84" s="143">
        <f t="shared" si="17"/>
        <v>7.2999999999999995E-2</v>
      </c>
    </row>
    <row r="85" spans="1:11" x14ac:dyDescent="0.2">
      <c r="A85" s="28" t="s">
        <v>578</v>
      </c>
      <c r="B85" s="14" t="s">
        <v>539</v>
      </c>
      <c r="C85" s="19">
        <v>5</v>
      </c>
      <c r="D85" s="21">
        <f t="shared" si="20"/>
        <v>8.6370703057522889E-4</v>
      </c>
      <c r="E85" s="16" t="s">
        <v>616</v>
      </c>
      <c r="F85" s="16" t="s">
        <v>458</v>
      </c>
      <c r="G85" s="16" t="s">
        <v>7</v>
      </c>
      <c r="H85" s="356" t="s">
        <v>459</v>
      </c>
      <c r="I85" s="398">
        <f t="shared" si="19"/>
        <v>0.1825</v>
      </c>
      <c r="J85" s="399">
        <v>36.5</v>
      </c>
      <c r="K85" s="143">
        <f t="shared" si="17"/>
        <v>0.1825</v>
      </c>
    </row>
    <row r="86" spans="1:11" x14ac:dyDescent="0.2">
      <c r="A86" s="28" t="s">
        <v>579</v>
      </c>
      <c r="B86" s="14" t="s">
        <v>580</v>
      </c>
      <c r="C86" s="19">
        <v>3</v>
      </c>
      <c r="D86" s="21">
        <f t="shared" si="20"/>
        <v>5.1822421834513729E-4</v>
      </c>
      <c r="E86" s="16" t="s">
        <v>616</v>
      </c>
      <c r="F86" s="16" t="s">
        <v>458</v>
      </c>
      <c r="G86" s="16" t="s">
        <v>7</v>
      </c>
      <c r="H86" s="356" t="s">
        <v>459</v>
      </c>
      <c r="I86" s="398">
        <f t="shared" si="19"/>
        <v>0.1095</v>
      </c>
      <c r="J86" s="399">
        <v>36.5</v>
      </c>
      <c r="K86" s="143">
        <f t="shared" si="17"/>
        <v>0.1095</v>
      </c>
    </row>
    <row r="87" spans="1:11" x14ac:dyDescent="0.2">
      <c r="A87" s="28" t="s">
        <v>581</v>
      </c>
      <c r="B87" s="14" t="s">
        <v>597</v>
      </c>
      <c r="C87" s="19">
        <v>9</v>
      </c>
      <c r="D87" s="21">
        <f t="shared" si="20"/>
        <v>1.554672655035412E-3</v>
      </c>
      <c r="E87" s="16" t="s">
        <v>616</v>
      </c>
      <c r="F87" s="16" t="s">
        <v>458</v>
      </c>
      <c r="G87" s="16" t="s">
        <v>6</v>
      </c>
      <c r="H87" s="356" t="s">
        <v>459</v>
      </c>
      <c r="I87" s="398">
        <f t="shared" si="19"/>
        <v>0.32850000000000001</v>
      </c>
      <c r="J87" s="399">
        <v>36.5</v>
      </c>
      <c r="K87" s="143">
        <f t="shared" si="17"/>
        <v>0.32850000000000001</v>
      </c>
    </row>
    <row r="88" spans="1:11" x14ac:dyDescent="0.2">
      <c r="A88" s="28" t="s">
        <v>45</v>
      </c>
      <c r="B88" s="14" t="s">
        <v>46</v>
      </c>
      <c r="C88" s="19">
        <v>4</v>
      </c>
      <c r="D88" s="21">
        <f t="shared" si="20"/>
        <v>6.9096562446018309E-4</v>
      </c>
      <c r="E88" s="16" t="s">
        <v>385</v>
      </c>
      <c r="F88" s="16" t="s">
        <v>458</v>
      </c>
      <c r="G88" s="16" t="s">
        <v>6</v>
      </c>
      <c r="H88" s="356" t="s">
        <v>459</v>
      </c>
      <c r="I88" s="398">
        <f t="shared" si="19"/>
        <v>0.14599999999999999</v>
      </c>
      <c r="J88" s="399">
        <v>36.5</v>
      </c>
      <c r="K88" s="143">
        <f t="shared" si="17"/>
        <v>0.14599999999999999</v>
      </c>
    </row>
    <row r="89" spans="1:11" x14ac:dyDescent="0.2">
      <c r="A89" s="28" t="s">
        <v>591</v>
      </c>
      <c r="B89" s="14" t="s">
        <v>567</v>
      </c>
      <c r="C89" s="19">
        <v>4</v>
      </c>
      <c r="D89" s="21">
        <f t="shared" si="20"/>
        <v>6.9096562446018309E-4</v>
      </c>
      <c r="E89" s="16" t="s">
        <v>616</v>
      </c>
      <c r="F89" s="16" t="s">
        <v>458</v>
      </c>
      <c r="G89" s="16" t="s">
        <v>6</v>
      </c>
      <c r="H89" s="356" t="s">
        <v>459</v>
      </c>
      <c r="I89" s="398">
        <f t="shared" si="19"/>
        <v>0.14599999999999999</v>
      </c>
      <c r="J89" s="399">
        <v>36.5</v>
      </c>
      <c r="K89" s="143">
        <f t="shared" si="17"/>
        <v>0.14599999999999999</v>
      </c>
    </row>
    <row r="90" spans="1:11" x14ac:dyDescent="0.2">
      <c r="A90" s="28" t="s">
        <v>47</v>
      </c>
      <c r="B90" s="51" t="s">
        <v>596</v>
      </c>
      <c r="C90" s="200">
        <v>3</v>
      </c>
      <c r="D90" s="118">
        <f t="shared" si="20"/>
        <v>5.1822421834513729E-4</v>
      </c>
      <c r="E90" s="54" t="s">
        <v>385</v>
      </c>
      <c r="F90" s="54" t="s">
        <v>458</v>
      </c>
      <c r="G90" s="54" t="s">
        <v>6</v>
      </c>
      <c r="H90" s="358" t="s">
        <v>459</v>
      </c>
      <c r="I90" s="398">
        <f t="shared" si="19"/>
        <v>0.1095</v>
      </c>
      <c r="J90" s="399">
        <v>36.5</v>
      </c>
      <c r="K90" s="143">
        <f t="shared" si="17"/>
        <v>0.1095</v>
      </c>
    </row>
    <row r="91" spans="1:11" x14ac:dyDescent="0.2">
      <c r="A91" s="28" t="s">
        <v>88</v>
      </c>
      <c r="B91" s="14" t="s">
        <v>62</v>
      </c>
      <c r="C91" s="19">
        <v>2</v>
      </c>
      <c r="D91" s="21">
        <f t="shared" ref="D91:D106" si="21">C91/$C$1</f>
        <v>3.4548281223009154E-4</v>
      </c>
      <c r="E91" s="16" t="s">
        <v>39</v>
      </c>
      <c r="F91" s="16" t="s">
        <v>458</v>
      </c>
      <c r="G91" s="16" t="s">
        <v>6</v>
      </c>
      <c r="H91" s="356" t="s">
        <v>459</v>
      </c>
      <c r="I91" s="398">
        <f t="shared" si="19"/>
        <v>7.2999999999999995E-2</v>
      </c>
      <c r="J91" s="399">
        <v>36.5</v>
      </c>
      <c r="K91" s="143">
        <f t="shared" si="17"/>
        <v>7.2999999999999995E-2</v>
      </c>
    </row>
    <row r="92" spans="1:11" x14ac:dyDescent="0.2">
      <c r="A92" s="28" t="s">
        <v>598</v>
      </c>
      <c r="B92" s="14" t="s">
        <v>599</v>
      </c>
      <c r="C92" s="19">
        <v>2</v>
      </c>
      <c r="D92" s="21">
        <f t="shared" si="21"/>
        <v>3.4548281223009154E-4</v>
      </c>
      <c r="E92" s="16" t="s">
        <v>616</v>
      </c>
      <c r="F92" s="16" t="s">
        <v>458</v>
      </c>
      <c r="G92" s="16" t="s">
        <v>6</v>
      </c>
      <c r="H92" s="356" t="s">
        <v>459</v>
      </c>
      <c r="I92" s="398">
        <f t="shared" si="19"/>
        <v>7.2999999999999995E-2</v>
      </c>
      <c r="J92" s="399">
        <v>36.5</v>
      </c>
      <c r="K92" s="143">
        <f t="shared" si="17"/>
        <v>7.2999999999999995E-2</v>
      </c>
    </row>
    <row r="93" spans="1:11" x14ac:dyDescent="0.2">
      <c r="A93" s="354" t="s">
        <v>704</v>
      </c>
      <c r="B93" s="14" t="s">
        <v>543</v>
      </c>
      <c r="C93" s="19">
        <v>5</v>
      </c>
      <c r="D93" s="21">
        <f t="shared" si="21"/>
        <v>8.6370703057522889E-4</v>
      </c>
      <c r="E93" s="16" t="s">
        <v>616</v>
      </c>
      <c r="F93" s="16" t="s">
        <v>458</v>
      </c>
      <c r="G93" s="16" t="s">
        <v>7</v>
      </c>
      <c r="H93" s="356" t="s">
        <v>459</v>
      </c>
      <c r="I93" s="398">
        <f>C93*J93/1000</f>
        <v>0.1825</v>
      </c>
      <c r="J93" s="399">
        <v>36.5</v>
      </c>
      <c r="K93" s="143">
        <f>C93*J93/1000</f>
        <v>0.1825</v>
      </c>
    </row>
    <row r="94" spans="1:11" x14ac:dyDescent="0.2">
      <c r="A94" s="354" t="s">
        <v>727</v>
      </c>
      <c r="B94" s="14" t="s">
        <v>521</v>
      </c>
      <c r="C94" s="19">
        <v>9</v>
      </c>
      <c r="D94" s="21">
        <f t="shared" si="21"/>
        <v>1.554672655035412E-3</v>
      </c>
      <c r="E94" s="16" t="s">
        <v>616</v>
      </c>
      <c r="F94" s="16" t="s">
        <v>486</v>
      </c>
      <c r="G94" s="16" t="s">
        <v>7</v>
      </c>
      <c r="H94" s="356" t="s">
        <v>459</v>
      </c>
      <c r="I94" s="398">
        <f>C94*J94/1000</f>
        <v>0.32850000000000001</v>
      </c>
      <c r="J94" s="399">
        <v>36.5</v>
      </c>
      <c r="K94" s="143">
        <f>C94*J94/1000</f>
        <v>0.32850000000000001</v>
      </c>
    </row>
    <row r="95" spans="1:11" x14ac:dyDescent="0.2">
      <c r="A95" s="354" t="s">
        <v>730</v>
      </c>
      <c r="B95" s="14" t="s">
        <v>573</v>
      </c>
      <c r="C95" s="19">
        <v>6</v>
      </c>
      <c r="D95" s="21">
        <f t="shared" si="21"/>
        <v>1.0364484366902746E-3</v>
      </c>
      <c r="E95" s="16" t="s">
        <v>616</v>
      </c>
      <c r="F95" s="16" t="s">
        <v>458</v>
      </c>
      <c r="G95" s="16" t="s">
        <v>7</v>
      </c>
      <c r="H95" s="356" t="s">
        <v>459</v>
      </c>
      <c r="I95" s="398">
        <f>C95*J95/1000</f>
        <v>0.219</v>
      </c>
      <c r="J95" s="399">
        <v>36.5</v>
      </c>
      <c r="K95" s="143">
        <f>C95*J95/1000</f>
        <v>0.219</v>
      </c>
    </row>
    <row r="96" spans="1:11" ht="17" thickBot="1" x14ac:dyDescent="0.25">
      <c r="A96" s="30" t="s">
        <v>607</v>
      </c>
      <c r="B96" s="31" t="s">
        <v>608</v>
      </c>
      <c r="C96" s="133">
        <v>6</v>
      </c>
      <c r="D96" s="123">
        <f t="shared" si="21"/>
        <v>1.0364484366902746E-3</v>
      </c>
      <c r="E96" s="34" t="s">
        <v>616</v>
      </c>
      <c r="F96" s="34" t="s">
        <v>458</v>
      </c>
      <c r="G96" s="34" t="s">
        <v>6</v>
      </c>
      <c r="H96" s="191" t="s">
        <v>459</v>
      </c>
      <c r="I96" s="400">
        <f t="shared" si="19"/>
        <v>0.219</v>
      </c>
      <c r="J96" s="401">
        <v>36.5</v>
      </c>
      <c r="K96" s="143">
        <f t="shared" si="17"/>
        <v>0.219</v>
      </c>
    </row>
    <row r="97" spans="1:11" x14ac:dyDescent="0.2">
      <c r="A97" s="102" t="s">
        <v>435</v>
      </c>
      <c r="B97" s="14" t="s">
        <v>611</v>
      </c>
      <c r="C97" s="19">
        <v>35</v>
      </c>
      <c r="D97" s="21">
        <f t="shared" si="21"/>
        <v>6.0459492140266021E-3</v>
      </c>
      <c r="E97" s="16" t="s">
        <v>656</v>
      </c>
      <c r="F97" s="16" t="s">
        <v>486</v>
      </c>
      <c r="G97" s="16" t="s">
        <v>7</v>
      </c>
      <c r="H97" s="89" t="s">
        <v>441</v>
      </c>
      <c r="I97" s="398">
        <f t="shared" ref="I97:I104" si="22">C97*J97/1000</f>
        <v>1.2775000000000001</v>
      </c>
      <c r="J97" s="399">
        <v>36.5</v>
      </c>
      <c r="K97" s="143">
        <f t="shared" ref="K97:K104" si="23">C97*J97/1000</f>
        <v>1.2775000000000001</v>
      </c>
    </row>
    <row r="98" spans="1:11" x14ac:dyDescent="0.2">
      <c r="A98" s="104" t="s">
        <v>435</v>
      </c>
      <c r="B98" s="14" t="s">
        <v>612</v>
      </c>
      <c r="C98" s="19">
        <v>26</v>
      </c>
      <c r="D98" s="21">
        <f t="shared" si="21"/>
        <v>4.4912765589911899E-3</v>
      </c>
      <c r="E98" s="16" t="s">
        <v>656</v>
      </c>
      <c r="F98" s="16" t="s">
        <v>486</v>
      </c>
      <c r="G98" s="16" t="s">
        <v>7</v>
      </c>
      <c r="H98" s="89" t="s">
        <v>441</v>
      </c>
      <c r="I98" s="398">
        <f t="shared" si="22"/>
        <v>0.94899999999999995</v>
      </c>
      <c r="J98" s="399">
        <v>36.5</v>
      </c>
      <c r="K98" s="143">
        <f t="shared" si="23"/>
        <v>0.94899999999999995</v>
      </c>
    </row>
    <row r="99" spans="1:11" x14ac:dyDescent="0.2">
      <c r="A99" s="104" t="s">
        <v>435</v>
      </c>
      <c r="B99" s="14" t="s">
        <v>518</v>
      </c>
      <c r="C99" s="19">
        <v>24</v>
      </c>
      <c r="D99" s="21">
        <f t="shared" si="21"/>
        <v>4.1457937467610983E-3</v>
      </c>
      <c r="E99" s="16" t="s">
        <v>616</v>
      </c>
      <c r="F99" s="16" t="s">
        <v>458</v>
      </c>
      <c r="G99" s="16" t="s">
        <v>7</v>
      </c>
      <c r="H99" s="89" t="s">
        <v>459</v>
      </c>
      <c r="I99" s="398">
        <f t="shared" si="22"/>
        <v>0.876</v>
      </c>
      <c r="J99" s="399">
        <v>36.5</v>
      </c>
      <c r="K99" s="143">
        <f t="shared" si="23"/>
        <v>0.876</v>
      </c>
    </row>
    <row r="100" spans="1:11" x14ac:dyDescent="0.2">
      <c r="A100" s="104" t="s">
        <v>435</v>
      </c>
      <c r="B100" s="14" t="s">
        <v>494</v>
      </c>
      <c r="C100" s="19">
        <v>23</v>
      </c>
      <c r="D100" s="21">
        <f t="shared" si="21"/>
        <v>3.9730523406460525E-3</v>
      </c>
      <c r="E100" s="16" t="s">
        <v>562</v>
      </c>
      <c r="F100" s="16" t="s">
        <v>458</v>
      </c>
      <c r="G100" s="16" t="s">
        <v>7</v>
      </c>
      <c r="H100" s="89" t="s">
        <v>459</v>
      </c>
      <c r="I100" s="398">
        <f t="shared" si="22"/>
        <v>0.83950000000000002</v>
      </c>
      <c r="J100" s="399">
        <v>36.5</v>
      </c>
      <c r="K100" s="143">
        <f t="shared" si="23"/>
        <v>0.83950000000000002</v>
      </c>
    </row>
    <row r="101" spans="1:11" x14ac:dyDescent="0.2">
      <c r="A101" s="104" t="s">
        <v>435</v>
      </c>
      <c r="B101" s="14" t="s">
        <v>490</v>
      </c>
      <c r="C101" s="19">
        <v>22</v>
      </c>
      <c r="D101" s="21">
        <f t="shared" si="21"/>
        <v>3.8003109345310072E-3</v>
      </c>
      <c r="E101" s="16" t="s">
        <v>616</v>
      </c>
      <c r="F101" s="16" t="s">
        <v>486</v>
      </c>
      <c r="G101" s="16" t="s">
        <v>7</v>
      </c>
      <c r="H101" s="89" t="s">
        <v>459</v>
      </c>
      <c r="I101" s="398">
        <f t="shared" si="22"/>
        <v>0.80300000000000005</v>
      </c>
      <c r="J101" s="399">
        <v>36.5</v>
      </c>
      <c r="K101" s="143">
        <f t="shared" si="23"/>
        <v>0.80300000000000005</v>
      </c>
    </row>
    <row r="102" spans="1:11" x14ac:dyDescent="0.2">
      <c r="A102" s="104" t="s">
        <v>435</v>
      </c>
      <c r="B102" s="14" t="s">
        <v>524</v>
      </c>
      <c r="C102" s="19">
        <v>22</v>
      </c>
      <c r="D102" s="21">
        <f t="shared" si="21"/>
        <v>3.8003109345310072E-3</v>
      </c>
      <c r="E102" s="16" t="s">
        <v>616</v>
      </c>
      <c r="F102" s="16" t="s">
        <v>486</v>
      </c>
      <c r="G102" s="16" t="s">
        <v>7</v>
      </c>
      <c r="H102" s="89" t="s">
        <v>459</v>
      </c>
      <c r="I102" s="398">
        <f t="shared" si="22"/>
        <v>0.80300000000000005</v>
      </c>
      <c r="J102" s="399">
        <v>36.5</v>
      </c>
      <c r="K102" s="143">
        <f t="shared" si="23"/>
        <v>0.80300000000000005</v>
      </c>
    </row>
    <row r="103" spans="1:11" x14ac:dyDescent="0.2">
      <c r="A103" s="104" t="s">
        <v>435</v>
      </c>
      <c r="B103" s="14" t="s">
        <v>529</v>
      </c>
      <c r="C103" s="19">
        <v>21</v>
      </c>
      <c r="D103" s="21">
        <f t="shared" si="21"/>
        <v>3.6275695284159614E-3</v>
      </c>
      <c r="E103" s="16" t="s">
        <v>616</v>
      </c>
      <c r="F103" s="16" t="s">
        <v>486</v>
      </c>
      <c r="G103" s="16" t="s">
        <v>7</v>
      </c>
      <c r="H103" s="89" t="s">
        <v>459</v>
      </c>
      <c r="I103" s="398">
        <f t="shared" si="22"/>
        <v>0.76649999999999996</v>
      </c>
      <c r="J103" s="399">
        <v>36.5</v>
      </c>
      <c r="K103" s="143">
        <f t="shared" si="23"/>
        <v>0.76649999999999996</v>
      </c>
    </row>
    <row r="104" spans="1:11" x14ac:dyDescent="0.2">
      <c r="A104" s="104" t="s">
        <v>435</v>
      </c>
      <c r="B104" s="14" t="s">
        <v>733</v>
      </c>
      <c r="C104" s="19">
        <v>20</v>
      </c>
      <c r="D104" s="21">
        <f t="shared" si="21"/>
        <v>3.4548281223009156E-3</v>
      </c>
      <c r="E104" s="16" t="s">
        <v>656</v>
      </c>
      <c r="F104" s="16" t="s">
        <v>486</v>
      </c>
      <c r="G104" s="16" t="s">
        <v>7</v>
      </c>
      <c r="H104" s="89" t="s">
        <v>441</v>
      </c>
      <c r="I104" s="398">
        <f t="shared" si="22"/>
        <v>0.73</v>
      </c>
      <c r="J104" s="399">
        <v>36.5</v>
      </c>
      <c r="K104" s="143">
        <f t="shared" si="23"/>
        <v>0.73</v>
      </c>
    </row>
    <row r="105" spans="1:11" x14ac:dyDescent="0.2">
      <c r="A105" s="104" t="s">
        <v>435</v>
      </c>
      <c r="B105" s="93" t="s">
        <v>590</v>
      </c>
      <c r="C105" s="64">
        <v>9</v>
      </c>
      <c r="D105" s="100">
        <f t="shared" si="21"/>
        <v>1.554672655035412E-3</v>
      </c>
      <c r="E105" s="57" t="s">
        <v>105</v>
      </c>
      <c r="F105" s="57" t="s">
        <v>458</v>
      </c>
      <c r="G105" s="57" t="s">
        <v>7</v>
      </c>
      <c r="H105" s="363" t="s">
        <v>459</v>
      </c>
      <c r="I105" s="404">
        <f t="shared" si="19"/>
        <v>0.32850000000000001</v>
      </c>
      <c r="J105" s="405">
        <v>36.5</v>
      </c>
      <c r="K105" s="143">
        <f t="shared" si="17"/>
        <v>0.32850000000000001</v>
      </c>
    </row>
    <row r="106" spans="1:11" x14ac:dyDescent="0.2">
      <c r="A106" s="102" t="s">
        <v>435</v>
      </c>
      <c r="B106" s="14" t="s">
        <v>472</v>
      </c>
      <c r="C106" s="19">
        <v>9</v>
      </c>
      <c r="D106" s="21">
        <f t="shared" si="21"/>
        <v>1.554672655035412E-3</v>
      </c>
      <c r="E106" s="16" t="s">
        <v>616</v>
      </c>
      <c r="F106" s="16" t="s">
        <v>458</v>
      </c>
      <c r="G106" s="16" t="s">
        <v>7</v>
      </c>
      <c r="H106" s="356" t="s">
        <v>459</v>
      </c>
      <c r="I106" s="398">
        <f t="shared" si="19"/>
        <v>0.32850000000000001</v>
      </c>
      <c r="J106" s="399">
        <v>36.5</v>
      </c>
      <c r="K106" s="143">
        <f t="shared" si="17"/>
        <v>0.32850000000000001</v>
      </c>
    </row>
    <row r="107" spans="1:11" x14ac:dyDescent="0.2">
      <c r="A107" s="102" t="s">
        <v>435</v>
      </c>
      <c r="B107" s="93" t="s">
        <v>589</v>
      </c>
      <c r="C107" s="19">
        <v>6</v>
      </c>
      <c r="D107" s="21">
        <f t="shared" ref="D107" si="24">C107/$C$1</f>
        <v>1.0364484366902746E-3</v>
      </c>
      <c r="E107" s="16" t="s">
        <v>616</v>
      </c>
      <c r="F107" s="16" t="s">
        <v>486</v>
      </c>
      <c r="G107" s="16" t="s">
        <v>7</v>
      </c>
      <c r="H107" s="356" t="s">
        <v>459</v>
      </c>
      <c r="I107" s="398">
        <f t="shared" si="12"/>
        <v>0.219</v>
      </c>
      <c r="J107" s="399">
        <v>36.5</v>
      </c>
      <c r="K107" s="143">
        <f t="shared" si="17"/>
        <v>0.219</v>
      </c>
    </row>
    <row r="108" spans="1:11" x14ac:dyDescent="0.2">
      <c r="A108" s="102" t="s">
        <v>435</v>
      </c>
      <c r="B108" s="14" t="s">
        <v>522</v>
      </c>
      <c r="C108" s="19">
        <v>5</v>
      </c>
      <c r="D108" s="21">
        <f t="shared" si="6"/>
        <v>8.6370703057522889E-4</v>
      </c>
      <c r="E108" s="16" t="s">
        <v>616</v>
      </c>
      <c r="F108" s="16" t="s">
        <v>486</v>
      </c>
      <c r="G108" s="16" t="s">
        <v>7</v>
      </c>
      <c r="H108" s="356" t="s">
        <v>459</v>
      </c>
      <c r="I108" s="398">
        <f t="shared" si="12"/>
        <v>0.1825</v>
      </c>
      <c r="J108" s="399">
        <v>36.5</v>
      </c>
      <c r="K108" s="143">
        <f t="shared" si="17"/>
        <v>0.1825</v>
      </c>
    </row>
    <row r="109" spans="1:11" x14ac:dyDescent="0.2">
      <c r="A109" s="102" t="s">
        <v>435</v>
      </c>
      <c r="B109" s="14" t="s">
        <v>523</v>
      </c>
      <c r="C109" s="19">
        <v>8</v>
      </c>
      <c r="D109" s="21">
        <f t="shared" ref="D109:D121" si="25">C109/$C$1</f>
        <v>1.3819312489203662E-3</v>
      </c>
      <c r="E109" s="16" t="s">
        <v>616</v>
      </c>
      <c r="F109" s="16" t="s">
        <v>486</v>
      </c>
      <c r="G109" s="16" t="s">
        <v>7</v>
      </c>
      <c r="H109" s="356" t="s">
        <v>459</v>
      </c>
      <c r="I109" s="398">
        <f t="shared" si="12"/>
        <v>0.29199999999999998</v>
      </c>
      <c r="J109" s="399">
        <v>36.5</v>
      </c>
      <c r="K109" s="143">
        <f t="shared" si="17"/>
        <v>0.29199999999999998</v>
      </c>
    </row>
    <row r="110" spans="1:11" x14ac:dyDescent="0.2">
      <c r="A110" s="102" t="s">
        <v>435</v>
      </c>
      <c r="B110" s="14" t="s">
        <v>583</v>
      </c>
      <c r="C110" s="19">
        <v>9</v>
      </c>
      <c r="D110" s="21">
        <f t="shared" si="25"/>
        <v>1.554672655035412E-3</v>
      </c>
      <c r="E110" s="16" t="s">
        <v>616</v>
      </c>
      <c r="F110" s="16" t="s">
        <v>486</v>
      </c>
      <c r="G110" s="16" t="s">
        <v>7</v>
      </c>
      <c r="H110" s="356" t="s">
        <v>459</v>
      </c>
      <c r="I110" s="398">
        <f t="shared" si="12"/>
        <v>0.32850000000000001</v>
      </c>
      <c r="J110" s="399">
        <v>36.5</v>
      </c>
      <c r="K110" s="143">
        <f t="shared" si="17"/>
        <v>0.32850000000000001</v>
      </c>
    </row>
    <row r="111" spans="1:11" x14ac:dyDescent="0.2">
      <c r="A111" s="102" t="s">
        <v>435</v>
      </c>
      <c r="B111" s="14" t="s">
        <v>530</v>
      </c>
      <c r="C111" s="19">
        <v>9</v>
      </c>
      <c r="D111" s="21">
        <f t="shared" ref="D111" si="26">C111/$C$1</f>
        <v>1.554672655035412E-3</v>
      </c>
      <c r="E111" s="16" t="s">
        <v>616</v>
      </c>
      <c r="F111" s="16" t="s">
        <v>486</v>
      </c>
      <c r="G111" s="16" t="s">
        <v>7</v>
      </c>
      <c r="H111" s="356" t="s">
        <v>459</v>
      </c>
      <c r="I111" s="398">
        <f t="shared" si="12"/>
        <v>0.32850000000000001</v>
      </c>
      <c r="J111" s="399">
        <v>36.5</v>
      </c>
      <c r="K111" s="143">
        <f t="shared" si="17"/>
        <v>0.32850000000000001</v>
      </c>
    </row>
    <row r="112" spans="1:11" x14ac:dyDescent="0.2">
      <c r="A112" s="102" t="s">
        <v>435</v>
      </c>
      <c r="B112" s="14" t="s">
        <v>540</v>
      </c>
      <c r="C112" s="19">
        <v>5</v>
      </c>
      <c r="D112" s="21">
        <f t="shared" ref="D112" si="27">C112/$C$1</f>
        <v>8.6370703057522889E-4</v>
      </c>
      <c r="E112" s="16" t="s">
        <v>127</v>
      </c>
      <c r="F112" s="16" t="s">
        <v>486</v>
      </c>
      <c r="G112" s="16" t="s">
        <v>7</v>
      </c>
      <c r="H112" s="356" t="s">
        <v>459</v>
      </c>
      <c r="I112" s="398">
        <f t="shared" ref="I112:I124" si="28">C112*J112/1000</f>
        <v>0.1825</v>
      </c>
      <c r="J112" s="399">
        <v>36.5</v>
      </c>
      <c r="K112" s="143">
        <f t="shared" si="17"/>
        <v>0.1825</v>
      </c>
    </row>
    <row r="113" spans="1:11" x14ac:dyDescent="0.2">
      <c r="A113" s="102" t="s">
        <v>435</v>
      </c>
      <c r="B113" s="14" t="s">
        <v>557</v>
      </c>
      <c r="C113" s="19">
        <v>5</v>
      </c>
      <c r="D113" s="21">
        <f t="shared" si="25"/>
        <v>8.6370703057522889E-4</v>
      </c>
      <c r="E113" s="16" t="s">
        <v>656</v>
      </c>
      <c r="F113" s="16" t="s">
        <v>486</v>
      </c>
      <c r="G113" s="16" t="s">
        <v>7</v>
      </c>
      <c r="H113" s="356" t="s">
        <v>441</v>
      </c>
      <c r="I113" s="398">
        <f t="shared" si="28"/>
        <v>0.1825</v>
      </c>
      <c r="J113" s="399">
        <v>36.5</v>
      </c>
      <c r="K113" s="143">
        <f t="shared" si="17"/>
        <v>0.1825</v>
      </c>
    </row>
    <row r="114" spans="1:11" x14ac:dyDescent="0.2">
      <c r="A114" s="102" t="s">
        <v>435</v>
      </c>
      <c r="B114" s="14" t="s">
        <v>571</v>
      </c>
      <c r="C114" s="19">
        <v>4</v>
      </c>
      <c r="D114" s="21">
        <f>C114/$C$1</f>
        <v>6.9096562446018309E-4</v>
      </c>
      <c r="E114" s="16" t="s">
        <v>105</v>
      </c>
      <c r="F114" s="16" t="s">
        <v>458</v>
      </c>
      <c r="G114" s="16" t="s">
        <v>7</v>
      </c>
      <c r="H114" s="356" t="s">
        <v>459</v>
      </c>
      <c r="I114" s="398">
        <f>C114*J114/1000</f>
        <v>0.14599999999999999</v>
      </c>
      <c r="J114" s="399">
        <v>36.5</v>
      </c>
      <c r="K114" s="143">
        <f t="shared" si="17"/>
        <v>0.14599999999999999</v>
      </c>
    </row>
    <row r="115" spans="1:11" ht="17" thickBot="1" x14ac:dyDescent="0.25">
      <c r="A115" s="103" t="s">
        <v>435</v>
      </c>
      <c r="B115" s="66" t="s">
        <v>602</v>
      </c>
      <c r="C115" s="203">
        <v>9</v>
      </c>
      <c r="D115" s="204">
        <f t="shared" ref="D115" si="29">C115/$C$1</f>
        <v>1.554672655035412E-3</v>
      </c>
      <c r="E115" s="67" t="s">
        <v>616</v>
      </c>
      <c r="F115" s="34" t="s">
        <v>458</v>
      </c>
      <c r="G115" s="34" t="s">
        <v>7</v>
      </c>
      <c r="H115" s="357" t="s">
        <v>459</v>
      </c>
      <c r="I115" s="400">
        <f t="shared" si="28"/>
        <v>0.32850000000000001</v>
      </c>
      <c r="J115" s="401">
        <v>36.5</v>
      </c>
      <c r="K115" s="143">
        <f t="shared" si="17"/>
        <v>0.32850000000000001</v>
      </c>
    </row>
    <row r="116" spans="1:11" x14ac:dyDescent="0.2">
      <c r="A116" s="104" t="s">
        <v>435</v>
      </c>
      <c r="B116" s="93" t="s">
        <v>603</v>
      </c>
      <c r="C116" s="64">
        <v>9</v>
      </c>
      <c r="D116" s="100">
        <f t="shared" ref="D116" si="30">C116/$C$1</f>
        <v>1.554672655035412E-3</v>
      </c>
      <c r="E116" s="57" t="s">
        <v>641</v>
      </c>
      <c r="F116" s="57" t="s">
        <v>458</v>
      </c>
      <c r="G116" s="57" t="s">
        <v>7</v>
      </c>
      <c r="H116" s="363" t="s">
        <v>459</v>
      </c>
      <c r="I116" s="404">
        <f t="shared" si="28"/>
        <v>0.32850000000000001</v>
      </c>
      <c r="J116" s="405">
        <v>36.5</v>
      </c>
      <c r="K116" s="143">
        <f t="shared" si="17"/>
        <v>0.32850000000000001</v>
      </c>
    </row>
    <row r="117" spans="1:11" x14ac:dyDescent="0.2">
      <c r="A117" s="104" t="s">
        <v>435</v>
      </c>
      <c r="B117" s="14" t="s">
        <v>604</v>
      </c>
      <c r="C117" s="19">
        <v>9</v>
      </c>
      <c r="D117" s="21">
        <f t="shared" ref="D117" si="31">C117/$C$1</f>
        <v>1.554672655035412E-3</v>
      </c>
      <c r="E117" s="16" t="s">
        <v>230</v>
      </c>
      <c r="F117" s="16" t="s">
        <v>458</v>
      </c>
      <c r="G117" s="16" t="s">
        <v>7</v>
      </c>
      <c r="H117" s="356" t="s">
        <v>459</v>
      </c>
      <c r="I117" s="398">
        <f t="shared" si="28"/>
        <v>0.32850000000000001</v>
      </c>
      <c r="J117" s="399">
        <v>36.5</v>
      </c>
      <c r="K117" s="143">
        <f t="shared" si="17"/>
        <v>0.32850000000000001</v>
      </c>
    </row>
    <row r="118" spans="1:11" x14ac:dyDescent="0.2">
      <c r="A118" s="104" t="s">
        <v>435</v>
      </c>
      <c r="B118" s="14" t="s">
        <v>585</v>
      </c>
      <c r="C118" s="19">
        <v>39</v>
      </c>
      <c r="D118" s="21">
        <f t="shared" ref="D118" si="32">C118/$C$1</f>
        <v>6.7369148384867853E-3</v>
      </c>
      <c r="E118" s="16" t="s">
        <v>105</v>
      </c>
      <c r="F118" s="16" t="s">
        <v>458</v>
      </c>
      <c r="G118" s="16" t="s">
        <v>7</v>
      </c>
      <c r="H118" s="356" t="s">
        <v>459</v>
      </c>
      <c r="I118" s="398">
        <f t="shared" si="28"/>
        <v>1.4235</v>
      </c>
      <c r="J118" s="399">
        <v>36.5</v>
      </c>
      <c r="K118" s="143">
        <f t="shared" si="17"/>
        <v>1.4235</v>
      </c>
    </row>
    <row r="119" spans="1:11" x14ac:dyDescent="0.2">
      <c r="A119" s="104" t="s">
        <v>435</v>
      </c>
      <c r="B119" s="14" t="s">
        <v>584</v>
      </c>
      <c r="C119" s="19">
        <v>42</v>
      </c>
      <c r="D119" s="21">
        <f t="shared" si="25"/>
        <v>7.2551390568319227E-3</v>
      </c>
      <c r="E119" s="16" t="s">
        <v>105</v>
      </c>
      <c r="F119" s="16" t="s">
        <v>486</v>
      </c>
      <c r="G119" s="16" t="s">
        <v>7</v>
      </c>
      <c r="H119" s="356" t="s">
        <v>441</v>
      </c>
      <c r="I119" s="398">
        <f t="shared" si="28"/>
        <v>1.5329999999999999</v>
      </c>
      <c r="J119" s="399">
        <v>36.5</v>
      </c>
      <c r="K119" s="143">
        <f t="shared" si="17"/>
        <v>1.5329999999999999</v>
      </c>
    </row>
    <row r="120" spans="1:11" x14ac:dyDescent="0.2">
      <c r="A120" s="104" t="s">
        <v>435</v>
      </c>
      <c r="B120" s="14" t="s">
        <v>226</v>
      </c>
      <c r="C120" s="19">
        <v>48</v>
      </c>
      <c r="D120" s="21">
        <f t="shared" si="25"/>
        <v>8.2915874935221966E-3</v>
      </c>
      <c r="E120" s="16" t="s">
        <v>127</v>
      </c>
      <c r="F120" s="16" t="s">
        <v>458</v>
      </c>
      <c r="G120" s="16" t="s">
        <v>7</v>
      </c>
      <c r="H120" s="356" t="s">
        <v>459</v>
      </c>
      <c r="I120" s="398">
        <f t="shared" si="28"/>
        <v>1.752</v>
      </c>
      <c r="J120" s="399">
        <v>36.5</v>
      </c>
      <c r="K120" s="143">
        <f t="shared" si="17"/>
        <v>1.752</v>
      </c>
    </row>
    <row r="121" spans="1:11" x14ac:dyDescent="0.2">
      <c r="A121" s="104" t="s">
        <v>435</v>
      </c>
      <c r="B121" s="14" t="s">
        <v>500</v>
      </c>
      <c r="C121" s="19">
        <v>101</v>
      </c>
      <c r="D121" s="21">
        <f t="shared" si="25"/>
        <v>1.7446882017619625E-2</v>
      </c>
      <c r="E121" s="16" t="s">
        <v>616</v>
      </c>
      <c r="F121" s="16" t="s">
        <v>486</v>
      </c>
      <c r="G121" s="16" t="s">
        <v>7</v>
      </c>
      <c r="H121" s="356" t="s">
        <v>459</v>
      </c>
      <c r="I121" s="398">
        <f t="shared" si="28"/>
        <v>3.6865000000000001</v>
      </c>
      <c r="J121" s="399">
        <v>36.5</v>
      </c>
      <c r="K121" s="143">
        <f t="shared" si="17"/>
        <v>3.6865000000000001</v>
      </c>
    </row>
    <row r="122" spans="1:11" x14ac:dyDescent="0.2">
      <c r="A122" s="104" t="s">
        <v>435</v>
      </c>
      <c r="B122" s="14" t="s">
        <v>500</v>
      </c>
      <c r="C122" s="19">
        <v>51</v>
      </c>
      <c r="D122" s="21">
        <f t="shared" ref="D122" si="33">C122/$C$1</f>
        <v>8.8098117118673349E-3</v>
      </c>
      <c r="E122" s="16" t="s">
        <v>616</v>
      </c>
      <c r="F122" s="16" t="s">
        <v>486</v>
      </c>
      <c r="G122" s="16" t="s">
        <v>7</v>
      </c>
      <c r="H122" s="356" t="s">
        <v>441</v>
      </c>
      <c r="I122" s="398">
        <f t="shared" ref="I122" si="34">C122*J122/1000</f>
        <v>1.8614999999999999</v>
      </c>
      <c r="J122" s="399">
        <v>36.5</v>
      </c>
      <c r="K122" s="143">
        <f t="shared" ref="K122" si="35">C122*J122/1000</f>
        <v>1.8614999999999999</v>
      </c>
    </row>
    <row r="123" spans="1:11" x14ac:dyDescent="0.2">
      <c r="A123" s="104" t="s">
        <v>435</v>
      </c>
      <c r="B123" s="14" t="s">
        <v>500</v>
      </c>
      <c r="C123" s="19">
        <v>87</v>
      </c>
      <c r="D123" s="21">
        <f t="shared" ref="D123" si="36">C123/$C$1</f>
        <v>1.5028502332008982E-2</v>
      </c>
      <c r="E123" s="16" t="s">
        <v>616</v>
      </c>
      <c r="F123" s="16" t="s">
        <v>458</v>
      </c>
      <c r="G123" s="16" t="s">
        <v>6</v>
      </c>
      <c r="H123" s="356" t="s">
        <v>459</v>
      </c>
      <c r="I123" s="398">
        <f t="shared" si="28"/>
        <v>3.1755</v>
      </c>
      <c r="J123" s="399">
        <v>36.5</v>
      </c>
      <c r="K123" s="143">
        <f t="shared" si="17"/>
        <v>3.1755</v>
      </c>
    </row>
    <row r="124" spans="1:11" x14ac:dyDescent="0.2">
      <c r="A124" s="102" t="s">
        <v>435</v>
      </c>
      <c r="B124" s="14" t="s">
        <v>500</v>
      </c>
      <c r="C124" s="19">
        <v>260</v>
      </c>
      <c r="D124" s="21">
        <f>C124/$C$1</f>
        <v>4.4912765589911904E-2</v>
      </c>
      <c r="E124" s="16" t="s">
        <v>616</v>
      </c>
      <c r="F124" s="16" t="s">
        <v>458</v>
      </c>
      <c r="G124" s="16" t="s">
        <v>7</v>
      </c>
      <c r="H124" s="356" t="s">
        <v>459</v>
      </c>
      <c r="I124" s="398">
        <f t="shared" si="28"/>
        <v>9.49</v>
      </c>
      <c r="J124" s="399">
        <v>36.5</v>
      </c>
      <c r="K124" s="143">
        <f t="shared" si="17"/>
        <v>9.49</v>
      </c>
    </row>
    <row r="125" spans="1:11" ht="17" thickBot="1" x14ac:dyDescent="0.25">
      <c r="A125" s="206" t="s">
        <v>435</v>
      </c>
      <c r="B125" s="66" t="s">
        <v>561</v>
      </c>
      <c r="C125" s="203">
        <v>480</v>
      </c>
      <c r="D125" s="204">
        <f>C125/$C$1</f>
        <v>8.291587493522197E-2</v>
      </c>
      <c r="E125" s="67" t="s">
        <v>562</v>
      </c>
      <c r="F125" s="67" t="s">
        <v>458</v>
      </c>
      <c r="G125" s="67" t="s">
        <v>7</v>
      </c>
      <c r="H125" s="364" t="s">
        <v>459</v>
      </c>
      <c r="I125" s="207">
        <f>C125*J125/1000</f>
        <v>0.24</v>
      </c>
      <c r="J125" s="205">
        <v>0.5</v>
      </c>
      <c r="K125" s="143">
        <f t="shared" ref="K125" si="37">C125*J125/1000</f>
        <v>0.24</v>
      </c>
    </row>
    <row r="127" spans="1:11" ht="17" thickBot="1" x14ac:dyDescent="0.25">
      <c r="D127" t="s">
        <v>129</v>
      </c>
    </row>
    <row r="128" spans="1:11" x14ac:dyDescent="0.2">
      <c r="A128" s="413" t="s">
        <v>718</v>
      </c>
      <c r="B128" s="414"/>
      <c r="C128" s="414"/>
      <c r="D128" s="414"/>
      <c r="E128" s="415"/>
      <c r="F128" s="81"/>
      <c r="G128" s="81"/>
      <c r="H128" s="81"/>
      <c r="I128" s="109"/>
      <c r="J128" s="111"/>
      <c r="K128" s="143"/>
    </row>
    <row r="129" spans="1:11" x14ac:dyDescent="0.2">
      <c r="A129" s="213" t="s">
        <v>613</v>
      </c>
      <c r="B129" s="208" t="s">
        <v>614</v>
      </c>
      <c r="C129" s="209"/>
      <c r="D129" s="214" t="s">
        <v>617</v>
      </c>
      <c r="E129" s="215"/>
      <c r="F129" s="81"/>
      <c r="G129" s="81"/>
      <c r="H129" s="81"/>
      <c r="I129" s="109"/>
      <c r="J129" s="111"/>
      <c r="K129" s="143"/>
    </row>
    <row r="130" spans="1:11" x14ac:dyDescent="0.2">
      <c r="A130" s="332" t="str">
        <f>A8</f>
        <v>Teso</v>
      </c>
      <c r="B130" s="14">
        <f t="shared" ref="B130:B141" si="38">SUMIF($A$4:$A$125,A130,$C$4:$C$125)</f>
        <v>149</v>
      </c>
      <c r="C130" s="75">
        <f t="shared" ref="C130:C142" si="39">B130/$C$1</f>
        <v>2.573846951114182E-2</v>
      </c>
      <c r="D130" s="222">
        <f t="shared" ref="D130:D141" si="40">SUMIF($A$4:$A$125,A130,$I$4:$I$125)</f>
        <v>5.4385000000000003</v>
      </c>
      <c r="E130" s="210">
        <f>D130/$E$1</f>
        <v>3.128847415112361E-2</v>
      </c>
      <c r="F130" s="81"/>
      <c r="G130" s="81"/>
      <c r="H130" s="83"/>
    </row>
    <row r="131" spans="1:11" x14ac:dyDescent="0.2">
      <c r="A131" s="79" t="str">
        <f>A13</f>
        <v>M International Mongolia</v>
      </c>
      <c r="B131" s="14">
        <f t="shared" si="38"/>
        <v>149</v>
      </c>
      <c r="C131" s="75">
        <f t="shared" ref="C131:C141" si="41">B131/$C$1</f>
        <v>2.573846951114182E-2</v>
      </c>
      <c r="D131" s="222">
        <f t="shared" si="40"/>
        <v>5.4385000000000003</v>
      </c>
      <c r="E131" s="210">
        <f t="shared" ref="E131:E141" si="42">D131/$E$1</f>
        <v>3.128847415112361E-2</v>
      </c>
      <c r="F131" s="81"/>
      <c r="G131" s="81"/>
      <c r="H131" s="83"/>
    </row>
    <row r="132" spans="1:11" x14ac:dyDescent="0.2">
      <c r="A132" s="79" t="str">
        <f>A14</f>
        <v>Nomin Foods LLC</v>
      </c>
      <c r="B132" s="14">
        <f t="shared" si="38"/>
        <v>77</v>
      </c>
      <c r="C132" s="75">
        <f t="shared" si="41"/>
        <v>1.3301088270858524E-2</v>
      </c>
      <c r="D132" s="222">
        <f t="shared" si="40"/>
        <v>2.8105000000000002</v>
      </c>
      <c r="E132" s="210">
        <f t="shared" si="42"/>
        <v>1.6169211474070591E-2</v>
      </c>
      <c r="F132" s="81"/>
      <c r="G132" s="81"/>
      <c r="H132" s="83"/>
    </row>
    <row r="133" spans="1:11" x14ac:dyDescent="0.2">
      <c r="A133" s="79" t="str">
        <f>A16</f>
        <v>Maksimus Distribution LLC</v>
      </c>
      <c r="B133" s="14">
        <f t="shared" si="38"/>
        <v>64</v>
      </c>
      <c r="C133" s="75">
        <f t="shared" si="41"/>
        <v>1.1055449991362929E-2</v>
      </c>
      <c r="D133" s="222">
        <f t="shared" si="40"/>
        <v>2.3359999999999999</v>
      </c>
      <c r="E133" s="210">
        <f t="shared" si="42"/>
        <v>1.3439344601824905E-2</v>
      </c>
      <c r="F133" s="81"/>
      <c r="G133" s="81"/>
      <c r="H133" s="83"/>
    </row>
    <row r="134" spans="1:11" x14ac:dyDescent="0.2">
      <c r="A134" s="79" t="str">
        <f>A18</f>
        <v>Bayasakh Hulij LLC</v>
      </c>
      <c r="B134" s="14">
        <f t="shared" si="38"/>
        <v>60</v>
      </c>
      <c r="C134" s="75">
        <f t="shared" si="41"/>
        <v>1.0364484366902746E-2</v>
      </c>
      <c r="D134" s="222">
        <f t="shared" si="40"/>
        <v>2.19</v>
      </c>
      <c r="E134" s="210">
        <f t="shared" si="42"/>
        <v>1.2599385564210848E-2</v>
      </c>
      <c r="F134" s="81"/>
      <c r="G134" s="81"/>
      <c r="H134" s="83"/>
    </row>
    <row r="135" spans="1:11" x14ac:dyDescent="0.2">
      <c r="A135" s="79" t="str">
        <f>A19</f>
        <v>Talkh Chikher XK</v>
      </c>
      <c r="B135" s="14">
        <f t="shared" si="38"/>
        <v>57</v>
      </c>
      <c r="C135" s="75">
        <f t="shared" si="41"/>
        <v>9.8462601485576097E-3</v>
      </c>
      <c r="D135" s="222">
        <f t="shared" si="40"/>
        <v>2.0804999999999998</v>
      </c>
      <c r="E135" s="210">
        <f t="shared" si="42"/>
        <v>1.1969416286000305E-2</v>
      </c>
      <c r="F135" s="81"/>
      <c r="G135" s="81"/>
      <c r="H135" s="83"/>
    </row>
    <row r="136" spans="1:11" x14ac:dyDescent="0.2">
      <c r="A136" s="79" t="str">
        <f>A20</f>
        <v>Ögööj Chikher Boov LLC</v>
      </c>
      <c r="B136" s="14">
        <f t="shared" si="38"/>
        <v>56</v>
      </c>
      <c r="C136" s="75">
        <f t="shared" si="41"/>
        <v>9.673518742442563E-3</v>
      </c>
      <c r="D136" s="222">
        <f t="shared" si="40"/>
        <v>2.044</v>
      </c>
      <c r="E136" s="210">
        <f t="shared" si="42"/>
        <v>1.1759426526596792E-2</v>
      </c>
      <c r="F136" s="81"/>
      <c r="G136" s="81"/>
      <c r="H136" s="83"/>
    </row>
    <row r="137" spans="1:11" x14ac:dyDescent="0.2">
      <c r="A137" s="79" t="str">
        <f>A21</f>
        <v>CBH Care LLC</v>
      </c>
      <c r="B137" s="14">
        <f t="shared" si="38"/>
        <v>46</v>
      </c>
      <c r="C137" s="75">
        <f t="shared" si="41"/>
        <v>7.946104681292105E-3</v>
      </c>
      <c r="D137" s="222">
        <f t="shared" si="40"/>
        <v>1.679</v>
      </c>
      <c r="E137" s="210">
        <f t="shared" si="42"/>
        <v>9.6595289325616517E-3</v>
      </c>
      <c r="F137" s="81"/>
      <c r="G137" s="81"/>
      <c r="H137" s="83"/>
    </row>
    <row r="138" spans="1:11" x14ac:dyDescent="0.2">
      <c r="A138" s="393" t="str">
        <f>A22</f>
        <v>Gut &amp; Günstig importer</v>
      </c>
      <c r="B138" s="14">
        <f t="shared" si="38"/>
        <v>45</v>
      </c>
      <c r="C138" s="75">
        <f t="shared" si="41"/>
        <v>7.7733632751770601E-3</v>
      </c>
      <c r="D138" s="222">
        <f t="shared" si="40"/>
        <v>1.6425000000000001</v>
      </c>
      <c r="E138" s="210">
        <f t="shared" si="42"/>
        <v>9.449539173158137E-3</v>
      </c>
      <c r="F138" s="81"/>
      <c r="G138" s="81"/>
      <c r="H138" s="83"/>
    </row>
    <row r="139" spans="1:11" x14ac:dyDescent="0.2">
      <c r="A139" s="393" t="str">
        <f>A24</f>
        <v>Rotfront importer</v>
      </c>
      <c r="B139" s="14">
        <f t="shared" si="38"/>
        <v>45</v>
      </c>
      <c r="C139" s="75">
        <f t="shared" si="41"/>
        <v>7.7733632751770601E-3</v>
      </c>
      <c r="D139" s="222">
        <f t="shared" si="40"/>
        <v>1.6425000000000001</v>
      </c>
      <c r="E139" s="210">
        <f t="shared" si="42"/>
        <v>9.449539173158137E-3</v>
      </c>
      <c r="F139" s="81"/>
      <c r="G139" s="81"/>
      <c r="H139" s="83"/>
    </row>
    <row r="140" spans="1:11" x14ac:dyDescent="0.2">
      <c r="A140" s="332" t="str">
        <f>A26</f>
        <v>Monos Group LLC</v>
      </c>
      <c r="B140" s="14">
        <f t="shared" si="38"/>
        <v>43</v>
      </c>
      <c r="C140" s="75">
        <f t="shared" si="41"/>
        <v>7.4278804629469685E-3</v>
      </c>
      <c r="D140" s="222">
        <f t="shared" si="40"/>
        <v>1.5695000000000001</v>
      </c>
      <c r="E140" s="210">
        <f t="shared" si="42"/>
        <v>9.0295596543511093E-3</v>
      </c>
      <c r="F140" s="81"/>
      <c r="G140" s="81"/>
      <c r="H140" s="83"/>
    </row>
    <row r="141" spans="1:11" x14ac:dyDescent="0.2">
      <c r="A141" s="348" t="str">
        <f>A29</f>
        <v>Bosa Holding LLC</v>
      </c>
      <c r="B141" s="14">
        <f t="shared" si="38"/>
        <v>40</v>
      </c>
      <c r="C141" s="75">
        <f t="shared" si="41"/>
        <v>6.9096562446018311E-3</v>
      </c>
      <c r="D141" s="222">
        <f t="shared" si="40"/>
        <v>1.46</v>
      </c>
      <c r="E141" s="210">
        <f t="shared" si="42"/>
        <v>8.3995903761405651E-3</v>
      </c>
      <c r="F141" s="81"/>
      <c r="G141" s="81"/>
      <c r="H141" s="83"/>
    </row>
    <row r="142" spans="1:11" ht="17" thickBot="1" x14ac:dyDescent="0.25">
      <c r="A142" s="211" t="s">
        <v>435</v>
      </c>
      <c r="B142" s="31">
        <f>SUM(C4:C7)+SUM(C30:C125)</f>
        <v>4958</v>
      </c>
      <c r="C142" s="85">
        <f t="shared" si="39"/>
        <v>0.85645189151839696</v>
      </c>
      <c r="D142" s="223">
        <f>SUM(I4:I7)+SUM(I30:I125)</f>
        <v>143.48650000000004</v>
      </c>
      <c r="E142" s="212">
        <f t="shared" ref="E142" si="43">D142/$E$1</f>
        <v>0.82549850993568052</v>
      </c>
      <c r="F142" s="81"/>
      <c r="G142" s="81"/>
      <c r="H142" s="83"/>
    </row>
    <row r="143" spans="1:11" x14ac:dyDescent="0.2">
      <c r="A143" s="76"/>
      <c r="B143" s="262">
        <f>SUM(B130:B142)-$C$1</f>
        <v>0</v>
      </c>
      <c r="C143" s="78"/>
      <c r="D143" s="262">
        <f>SUM(D130:D142)-$E$1</f>
        <v>0</v>
      </c>
      <c r="E143" s="81"/>
      <c r="F143" s="81"/>
      <c r="G143" s="81"/>
      <c r="H143" s="83"/>
    </row>
    <row r="144" spans="1:11" x14ac:dyDescent="0.2">
      <c r="A144" s="76"/>
      <c r="B144" s="77"/>
      <c r="C144" s="78"/>
      <c r="D144" s="80"/>
      <c r="E144" s="81"/>
      <c r="F144" s="81"/>
      <c r="G144" s="81"/>
      <c r="H144" s="83"/>
    </row>
    <row r="145" spans="1:8" x14ac:dyDescent="0.2">
      <c r="A145" s="76"/>
      <c r="B145" s="77"/>
      <c r="C145" s="78"/>
      <c r="D145" s="80"/>
      <c r="E145" s="81"/>
      <c r="F145" s="81"/>
      <c r="G145" s="81"/>
      <c r="H145" s="83"/>
    </row>
    <row r="146" spans="1:8" x14ac:dyDescent="0.2">
      <c r="A146" s="76"/>
      <c r="B146" s="76"/>
      <c r="C146" s="78"/>
      <c r="D146" s="80"/>
      <c r="E146" s="81"/>
      <c r="F146" s="81"/>
      <c r="G146" s="81"/>
      <c r="H146" s="83"/>
    </row>
    <row r="147" spans="1:8" x14ac:dyDescent="0.2">
      <c r="A147" s="76"/>
      <c r="B147" s="82"/>
      <c r="C147" s="78"/>
      <c r="D147" s="80"/>
      <c r="E147" s="81"/>
      <c r="F147" s="81"/>
      <c r="G147" s="81"/>
      <c r="H147" s="83"/>
    </row>
    <row r="148" spans="1:8" x14ac:dyDescent="0.2">
      <c r="A148" s="76"/>
      <c r="B148" s="82"/>
      <c r="C148" s="78"/>
      <c r="D148" s="80"/>
      <c r="E148" s="81"/>
      <c r="F148" s="81"/>
      <c r="G148" s="81"/>
      <c r="H148" s="83"/>
    </row>
    <row r="149" spans="1:8" x14ac:dyDescent="0.2">
      <c r="A149" s="76"/>
      <c r="B149" s="82"/>
      <c r="C149" s="78"/>
      <c r="D149" s="80"/>
      <c r="E149" s="81"/>
      <c r="F149" s="81"/>
      <c r="G149" s="81"/>
      <c r="H149" s="83"/>
    </row>
    <row r="150" spans="1:8" ht="17" thickBot="1" x14ac:dyDescent="0.25">
      <c r="A150" s="10"/>
      <c r="C150" s="6"/>
      <c r="D150" s="6"/>
      <c r="E150" s="5"/>
      <c r="F150" s="5"/>
      <c r="G150" s="5"/>
      <c r="H150" s="83"/>
    </row>
    <row r="151" spans="1:8" x14ac:dyDescent="0.2">
      <c r="A151" s="413" t="s">
        <v>126</v>
      </c>
      <c r="B151" s="414"/>
      <c r="C151" s="414"/>
      <c r="D151" s="414"/>
      <c r="E151" s="415"/>
      <c r="F151" s="5"/>
      <c r="G151" s="5"/>
      <c r="H151" s="83"/>
    </row>
    <row r="152" spans="1:8" x14ac:dyDescent="0.2">
      <c r="A152" s="213" t="s">
        <v>1</v>
      </c>
      <c r="B152" s="208" t="s">
        <v>614</v>
      </c>
      <c r="C152" s="288"/>
      <c r="D152" s="214" t="s">
        <v>617</v>
      </c>
      <c r="E152" s="215"/>
      <c r="F152" s="81"/>
      <c r="G152" s="81"/>
      <c r="H152" s="83"/>
    </row>
    <row r="153" spans="1:8" x14ac:dyDescent="0.2">
      <c r="A153" s="79" t="s">
        <v>736</v>
      </c>
      <c r="B153" s="14">
        <f t="shared" ref="B153:B165" si="44">SUMIF($E$4:$E$125,A153,$C$4:$C$125)</f>
        <v>1955</v>
      </c>
      <c r="C153" s="75">
        <f t="shared" ref="C153:C160" si="45">B153/$C$1</f>
        <v>0.3377094489549145</v>
      </c>
      <c r="D153" s="306">
        <f t="shared" ref="D153:D165" si="46">SUMIF($E$4:$E$125,A153,$I$4:$I$125)</f>
        <v>82.11</v>
      </c>
      <c r="E153" s="210">
        <f>D153/$E$1</f>
        <v>0.4723906614965081</v>
      </c>
      <c r="F153" s="81"/>
      <c r="G153" s="81"/>
      <c r="H153" s="83"/>
    </row>
    <row r="154" spans="1:8" x14ac:dyDescent="0.2">
      <c r="A154" s="79" t="s">
        <v>616</v>
      </c>
      <c r="B154" s="14">
        <f t="shared" si="44"/>
        <v>1601</v>
      </c>
      <c r="C154" s="75">
        <f t="shared" si="45"/>
        <v>0.27655899119018829</v>
      </c>
      <c r="D154" s="306">
        <f t="shared" si="46"/>
        <v>58.436499999999988</v>
      </c>
      <c r="E154" s="210">
        <f t="shared" ref="E154:E165" si="47">D154/$E$1</f>
        <v>0.33619360480502608</v>
      </c>
      <c r="F154" s="81"/>
      <c r="G154" s="81"/>
      <c r="H154" s="83"/>
    </row>
    <row r="155" spans="1:8" x14ac:dyDescent="0.2">
      <c r="A155" s="79" t="s">
        <v>292</v>
      </c>
      <c r="B155" s="14">
        <f t="shared" si="44"/>
        <v>563</v>
      </c>
      <c r="C155" s="75">
        <f t="shared" si="45"/>
        <v>9.7253411642770779E-2</v>
      </c>
      <c r="D155" s="306">
        <f t="shared" si="46"/>
        <v>2.8149999999999999</v>
      </c>
      <c r="E155" s="210">
        <f t="shared" si="47"/>
        <v>1.6195100622490199E-2</v>
      </c>
      <c r="F155" s="81"/>
      <c r="G155" s="81"/>
      <c r="H155" s="83"/>
    </row>
    <row r="156" spans="1:8" x14ac:dyDescent="0.2">
      <c r="A156" s="79" t="s">
        <v>562</v>
      </c>
      <c r="B156" s="14">
        <f t="shared" si="44"/>
        <v>522</v>
      </c>
      <c r="C156" s="75">
        <f t="shared" si="45"/>
        <v>9.0171013992053892E-2</v>
      </c>
      <c r="D156" s="306">
        <f t="shared" si="46"/>
        <v>1.7729999999999999</v>
      </c>
      <c r="E156" s="210">
        <f t="shared" si="47"/>
        <v>1.0200324477326864E-2</v>
      </c>
      <c r="F156" s="81"/>
      <c r="G156" s="81"/>
      <c r="H156" s="83"/>
    </row>
    <row r="157" spans="1:8" x14ac:dyDescent="0.2">
      <c r="A157" s="312" t="s">
        <v>293</v>
      </c>
      <c r="B157" s="14">
        <f t="shared" si="44"/>
        <v>488</v>
      </c>
      <c r="C157" s="75">
        <f t="shared" si="45"/>
        <v>8.4297806184142343E-2</v>
      </c>
      <c r="D157" s="306">
        <f t="shared" si="46"/>
        <v>4.4744999999999999</v>
      </c>
      <c r="E157" s="210">
        <f t="shared" si="47"/>
        <v>2.5742443245233535E-2</v>
      </c>
      <c r="F157" s="81"/>
      <c r="G157" s="81"/>
      <c r="H157" s="83"/>
    </row>
    <row r="158" spans="1:8" x14ac:dyDescent="0.2">
      <c r="A158" s="79" t="s">
        <v>105</v>
      </c>
      <c r="B158" s="14">
        <f t="shared" si="44"/>
        <v>309</v>
      </c>
      <c r="C158" s="75">
        <f t="shared" si="45"/>
        <v>5.3377094489549144E-2</v>
      </c>
      <c r="D158" s="306">
        <f t="shared" si="46"/>
        <v>11.278500000000001</v>
      </c>
      <c r="E158" s="210">
        <f t="shared" si="47"/>
        <v>6.4886835655685871E-2</v>
      </c>
      <c r="F158" s="81"/>
      <c r="G158" s="81"/>
      <c r="H158" s="83"/>
    </row>
    <row r="159" spans="1:8" x14ac:dyDescent="0.2">
      <c r="A159" s="79" t="s">
        <v>656</v>
      </c>
      <c r="B159" s="14">
        <f t="shared" si="44"/>
        <v>215</v>
      </c>
      <c r="C159" s="75">
        <f t="shared" si="45"/>
        <v>3.7139402314734844E-2</v>
      </c>
      <c r="D159" s="306">
        <f t="shared" si="46"/>
        <v>7.847500000000001</v>
      </c>
      <c r="E159" s="210">
        <f t="shared" si="47"/>
        <v>4.5147798271755545E-2</v>
      </c>
      <c r="F159" s="81"/>
      <c r="G159" s="81"/>
      <c r="H159" s="83"/>
    </row>
    <row r="160" spans="1:8" x14ac:dyDescent="0.2">
      <c r="A160" s="79" t="s">
        <v>127</v>
      </c>
      <c r="B160" s="14">
        <f t="shared" si="44"/>
        <v>53</v>
      </c>
      <c r="C160" s="75">
        <f t="shared" si="45"/>
        <v>9.1552945240974265E-3</v>
      </c>
      <c r="D160" s="306">
        <f t="shared" si="46"/>
        <v>1.9344999999999999</v>
      </c>
      <c r="E160" s="210">
        <f t="shared" si="47"/>
        <v>1.112945724838625E-2</v>
      </c>
      <c r="F160" s="81"/>
      <c r="G160" s="81"/>
      <c r="H160" s="83"/>
    </row>
    <row r="161" spans="1:8" x14ac:dyDescent="0.2">
      <c r="A161" s="79" t="s">
        <v>291</v>
      </c>
      <c r="B161" s="14">
        <f t="shared" si="44"/>
        <v>34</v>
      </c>
      <c r="C161" s="75">
        <f t="shared" ref="C161:C162" si="48">B161/$C$1</f>
        <v>5.8732078079115563E-3</v>
      </c>
      <c r="D161" s="306">
        <f t="shared" si="46"/>
        <v>1.36</v>
      </c>
      <c r="E161" s="210">
        <f t="shared" si="47"/>
        <v>7.8242759668158707E-3</v>
      </c>
      <c r="F161" s="81"/>
      <c r="G161" s="81"/>
      <c r="H161" s="83"/>
    </row>
    <row r="162" spans="1:8" x14ac:dyDescent="0.2">
      <c r="A162" s="79" t="s">
        <v>39</v>
      </c>
      <c r="B162" s="14">
        <f t="shared" si="44"/>
        <v>16</v>
      </c>
      <c r="C162" s="75">
        <f t="shared" si="48"/>
        <v>2.7638624978407324E-3</v>
      </c>
      <c r="D162" s="306">
        <f t="shared" si="46"/>
        <v>0.58399999999999996</v>
      </c>
      <c r="E162" s="210">
        <f t="shared" si="47"/>
        <v>3.3598361504562262E-3</v>
      </c>
      <c r="F162" s="81"/>
      <c r="G162" s="81"/>
      <c r="H162" s="83"/>
    </row>
    <row r="163" spans="1:8" x14ac:dyDescent="0.2">
      <c r="A163" s="79" t="s">
        <v>230</v>
      </c>
      <c r="B163" s="14">
        <f t="shared" si="44"/>
        <v>12</v>
      </c>
      <c r="C163" s="75">
        <f>B163/$C$1</f>
        <v>2.0728968733805492E-3</v>
      </c>
      <c r="D163" s="306">
        <f t="shared" si="46"/>
        <v>0.438</v>
      </c>
      <c r="E163" s="210">
        <f t="shared" si="47"/>
        <v>2.5198771128421699E-3</v>
      </c>
      <c r="F163" s="81"/>
      <c r="G163" s="81"/>
      <c r="H163" s="83"/>
    </row>
    <row r="164" spans="1:8" x14ac:dyDescent="0.2">
      <c r="A164" s="79" t="s">
        <v>385</v>
      </c>
      <c r="B164" s="14">
        <f t="shared" si="44"/>
        <v>12</v>
      </c>
      <c r="C164" s="75">
        <f>B164/$C$1</f>
        <v>2.0728968733805492E-3</v>
      </c>
      <c r="D164" s="306">
        <f t="shared" si="46"/>
        <v>0.438</v>
      </c>
      <c r="E164" s="210">
        <f t="shared" si="47"/>
        <v>2.5198771128421699E-3</v>
      </c>
      <c r="F164" s="81"/>
      <c r="G164" s="81"/>
      <c r="H164" s="83"/>
    </row>
    <row r="165" spans="1:8" ht="17" thickBot="1" x14ac:dyDescent="0.25">
      <c r="A165" s="84" t="s">
        <v>641</v>
      </c>
      <c r="B165" s="31">
        <f t="shared" si="44"/>
        <v>9</v>
      </c>
      <c r="C165" s="85">
        <f>B165/$C$1</f>
        <v>1.554672655035412E-3</v>
      </c>
      <c r="D165" s="307">
        <f t="shared" si="46"/>
        <v>0.32850000000000001</v>
      </c>
      <c r="E165" s="212">
        <f t="shared" si="47"/>
        <v>1.8899078346316274E-3</v>
      </c>
      <c r="F165" s="81"/>
      <c r="G165" s="81"/>
      <c r="H165" s="83"/>
    </row>
    <row r="166" spans="1:8" x14ac:dyDescent="0.2">
      <c r="A166" s="76"/>
      <c r="B166" s="262">
        <f>SUM(B153:B165)-$C$1</f>
        <v>0</v>
      </c>
      <c r="C166" s="78"/>
      <c r="D166" s="262">
        <f>E1-SUM(D153:D165)</f>
        <v>0</v>
      </c>
      <c r="E166" s="81"/>
      <c r="F166" s="81"/>
      <c r="G166" s="81"/>
      <c r="H166" s="83"/>
    </row>
    <row r="167" spans="1:8" x14ac:dyDescent="0.2">
      <c r="A167" s="216"/>
      <c r="B167" s="82"/>
      <c r="C167" s="78"/>
      <c r="D167" s="80"/>
      <c r="E167" s="81"/>
      <c r="F167" s="81"/>
      <c r="G167" s="81"/>
      <c r="H167" s="83"/>
    </row>
    <row r="168" spans="1:8" x14ac:dyDescent="0.2">
      <c r="A168" s="216"/>
      <c r="B168" s="83"/>
      <c r="C168" s="82"/>
      <c r="D168" s="80"/>
      <c r="E168" s="81"/>
      <c r="F168" s="81"/>
      <c r="G168" s="81"/>
      <c r="H168" s="83"/>
    </row>
    <row r="169" spans="1:8" x14ac:dyDescent="0.2">
      <c r="A169" s="216"/>
      <c r="B169" s="76"/>
      <c r="C169" s="82"/>
      <c r="D169" s="80"/>
      <c r="E169" s="81"/>
      <c r="F169" s="81"/>
      <c r="G169" s="81"/>
      <c r="H169" s="83"/>
    </row>
    <row r="170" spans="1:8" ht="17" thickBot="1" x14ac:dyDescent="0.25">
      <c r="A170" s="1"/>
      <c r="B170" s="1"/>
      <c r="C170" s="6"/>
      <c r="D170" s="6"/>
      <c r="E170" s="5"/>
      <c r="F170" s="5"/>
      <c r="G170" s="5"/>
      <c r="H170" s="83"/>
    </row>
    <row r="171" spans="1:8" x14ac:dyDescent="0.2">
      <c r="A171" s="413" t="s">
        <v>128</v>
      </c>
      <c r="B171" s="414"/>
      <c r="C171" s="414"/>
      <c r="D171" s="414"/>
      <c r="E171" s="415"/>
      <c r="F171" s="5"/>
      <c r="G171" s="5"/>
      <c r="H171" s="83"/>
    </row>
    <row r="172" spans="1:8" x14ac:dyDescent="0.2">
      <c r="A172" s="213" t="s">
        <v>618</v>
      </c>
      <c r="B172" s="208" t="s">
        <v>614</v>
      </c>
      <c r="C172" s="209"/>
      <c r="D172" s="214" t="s">
        <v>617</v>
      </c>
      <c r="E172" s="215"/>
      <c r="F172" s="81"/>
      <c r="G172" s="81"/>
      <c r="H172" s="83"/>
    </row>
    <row r="173" spans="1:8" x14ac:dyDescent="0.2">
      <c r="A173" s="79" t="s">
        <v>6</v>
      </c>
      <c r="B173" s="14">
        <f>SUMIF($G$4:$G$125,A173,$C$4:$C$125)</f>
        <v>743</v>
      </c>
      <c r="C173" s="75">
        <f>B173/$C$1</f>
        <v>0.12834686474347901</v>
      </c>
      <c r="D173" s="306">
        <f>SUMIF($G$4:$G$125,A173,$I$4:$I$125)</f>
        <v>27.11950000000002</v>
      </c>
      <c r="E173" s="210">
        <f>D173/$E$1</f>
        <v>0.15602239123681114</v>
      </c>
      <c r="F173" s="81"/>
      <c r="G173" s="81"/>
      <c r="H173" s="83"/>
    </row>
    <row r="174" spans="1:8" x14ac:dyDescent="0.2">
      <c r="A174" s="79" t="s">
        <v>7</v>
      </c>
      <c r="B174" s="14">
        <f>SUMIF($G$4:$G$125,A174,$C$4:$C$125)</f>
        <v>2009</v>
      </c>
      <c r="C174" s="75">
        <f>B174/$C$1</f>
        <v>0.34703748488512698</v>
      </c>
      <c r="D174" s="306">
        <f>SUMIF($G$4:$G$125,A174,$I$4:$I$125)</f>
        <v>56.048500000000011</v>
      </c>
      <c r="E174" s="210">
        <f>D174/$E$1</f>
        <v>0.32245509671035244</v>
      </c>
      <c r="F174" s="81"/>
      <c r="G174" s="81"/>
      <c r="H174" s="83"/>
    </row>
    <row r="175" spans="1:8" ht="17" thickBot="1" x14ac:dyDescent="0.25">
      <c r="A175" s="84" t="s">
        <v>684</v>
      </c>
      <c r="B175" s="31">
        <f>SUMIF($G$4:$G$125,A175,$C$4:$C$125)</f>
        <v>3037</v>
      </c>
      <c r="C175" s="85">
        <f>B175/$C$1</f>
        <v>0.52461565037139402</v>
      </c>
      <c r="D175" s="307">
        <f>SUMIF($G$4:$G$125,A175,$I$4:$I$125)</f>
        <v>90.649999999999991</v>
      </c>
      <c r="E175" s="212">
        <f>D175/$E$1</f>
        <v>0.52152251205283717</v>
      </c>
      <c r="F175" s="81"/>
      <c r="G175" s="81"/>
      <c r="H175" s="83"/>
    </row>
    <row r="176" spans="1:8" x14ac:dyDescent="0.2">
      <c r="A176" s="82"/>
      <c r="B176" s="262">
        <f>SUM(B173:B175)-$C$1</f>
        <v>0</v>
      </c>
      <c r="C176" s="80"/>
      <c r="D176" s="262">
        <f>SUM(D173:D175)-$E$1</f>
        <v>0</v>
      </c>
      <c r="E176" s="81"/>
      <c r="F176" s="81"/>
      <c r="G176" s="81"/>
      <c r="H176" s="83"/>
    </row>
    <row r="177" spans="1:8" x14ac:dyDescent="0.2">
      <c r="A177" s="82"/>
      <c r="B177" s="82"/>
      <c r="C177" s="80"/>
      <c r="D177" s="80"/>
      <c r="E177" s="81"/>
      <c r="F177" s="81"/>
      <c r="G177" s="81"/>
      <c r="H177" s="83"/>
    </row>
    <row r="178" spans="1:8" x14ac:dyDescent="0.2">
      <c r="A178" s="82"/>
      <c r="B178" s="82"/>
      <c r="C178" s="80"/>
      <c r="D178" s="80"/>
      <c r="E178" s="81"/>
      <c r="F178" s="81"/>
      <c r="G178" s="81"/>
      <c r="H178" s="83"/>
    </row>
    <row r="179" spans="1:8" x14ac:dyDescent="0.2">
      <c r="A179" s="82"/>
      <c r="B179" s="82"/>
      <c r="C179" s="80"/>
      <c r="D179" s="80"/>
      <c r="E179" s="81"/>
      <c r="F179" s="81"/>
      <c r="G179" s="81"/>
      <c r="H179" s="83"/>
    </row>
    <row r="180" spans="1:8" x14ac:dyDescent="0.2">
      <c r="A180" s="82"/>
      <c r="B180" s="82"/>
      <c r="C180" s="80"/>
      <c r="D180" s="80"/>
      <c r="E180" s="81"/>
      <c r="F180" s="81"/>
      <c r="G180" s="81"/>
      <c r="H180" s="83"/>
    </row>
    <row r="181" spans="1:8" x14ac:dyDescent="0.2">
      <c r="A181" s="82"/>
      <c r="B181" s="82"/>
      <c r="C181" s="80"/>
      <c r="D181" s="80"/>
      <c r="E181" s="81"/>
      <c r="F181" s="81"/>
      <c r="G181" s="81"/>
      <c r="H181" s="83"/>
    </row>
    <row r="182" spans="1:8" x14ac:dyDescent="0.2">
      <c r="A182" s="82"/>
      <c r="B182" s="82"/>
      <c r="C182" s="80"/>
      <c r="D182" s="80"/>
      <c r="E182" s="81"/>
      <c r="F182" s="81"/>
      <c r="G182" s="81"/>
      <c r="H182" s="83"/>
    </row>
    <row r="183" spans="1:8" x14ac:dyDescent="0.2">
      <c r="A183" s="82"/>
      <c r="B183" s="82"/>
      <c r="C183" s="80"/>
      <c r="D183" s="80"/>
      <c r="E183" s="81"/>
      <c r="F183" s="81"/>
      <c r="G183" s="81"/>
      <c r="H183" s="83"/>
    </row>
    <row r="184" spans="1:8" x14ac:dyDescent="0.2">
      <c r="A184" s="82"/>
      <c r="B184" s="82"/>
      <c r="C184" s="80"/>
      <c r="D184" s="80"/>
      <c r="E184" s="81"/>
      <c r="F184" s="81"/>
      <c r="G184" s="81"/>
      <c r="H184" s="83"/>
    </row>
    <row r="185" spans="1:8" x14ac:dyDescent="0.2">
      <c r="A185" s="82"/>
      <c r="B185" s="82"/>
      <c r="C185" s="80"/>
      <c r="D185" s="80"/>
      <c r="E185" s="81"/>
      <c r="F185" s="81"/>
      <c r="G185" s="81"/>
      <c r="H185" s="83"/>
    </row>
    <row r="186" spans="1:8" x14ac:dyDescent="0.2">
      <c r="A186" s="82"/>
      <c r="B186" s="82"/>
      <c r="C186" s="80"/>
      <c r="D186" s="80"/>
      <c r="E186" s="81"/>
      <c r="F186" s="81"/>
      <c r="G186" s="81"/>
      <c r="H186" s="83"/>
    </row>
    <row r="187" spans="1:8" x14ac:dyDescent="0.2">
      <c r="A187" s="82"/>
      <c r="B187" s="82"/>
      <c r="C187" s="80"/>
      <c r="D187" s="80"/>
      <c r="E187" s="81"/>
      <c r="F187" s="81"/>
      <c r="G187" s="81"/>
      <c r="H187" s="83"/>
    </row>
    <row r="188" spans="1:8" x14ac:dyDescent="0.2">
      <c r="A188" s="82"/>
      <c r="B188" s="82"/>
      <c r="C188" s="80"/>
      <c r="D188" s="80"/>
      <c r="E188" s="81"/>
      <c r="F188" s="81"/>
      <c r="G188" s="81"/>
      <c r="H188" s="83"/>
    </row>
    <row r="189" spans="1:8" x14ac:dyDescent="0.2">
      <c r="A189" s="82"/>
      <c r="B189" s="82"/>
      <c r="C189" s="80"/>
      <c r="D189" s="80"/>
      <c r="E189" s="81"/>
      <c r="F189" s="81"/>
      <c r="G189" s="81"/>
      <c r="H189" s="83"/>
    </row>
    <row r="190" spans="1:8" x14ac:dyDescent="0.2">
      <c r="A190" s="82"/>
      <c r="B190" s="82"/>
      <c r="C190" s="80"/>
      <c r="D190" s="80"/>
      <c r="E190" s="81"/>
      <c r="F190" s="81"/>
      <c r="G190" s="81"/>
      <c r="H190" s="83"/>
    </row>
    <row r="191" spans="1:8" x14ac:dyDescent="0.2">
      <c r="A191" s="82"/>
      <c r="B191" s="82"/>
      <c r="C191" s="80"/>
      <c r="D191" s="80"/>
      <c r="E191" s="81"/>
      <c r="F191" s="81"/>
      <c r="G191" s="81"/>
      <c r="H191" s="83"/>
    </row>
    <row r="192" spans="1:8" x14ac:dyDescent="0.2">
      <c r="A192" s="1"/>
      <c r="B192" s="1"/>
      <c r="C192" s="6"/>
      <c r="D192" s="6"/>
      <c r="E192" s="5"/>
      <c r="F192" s="5"/>
      <c r="G192" s="5"/>
      <c r="H192" s="83"/>
    </row>
    <row r="193" spans="1:8" x14ac:dyDescent="0.2">
      <c r="A193" s="427" t="s">
        <v>619</v>
      </c>
      <c r="B193" s="427"/>
      <c r="C193" s="427"/>
      <c r="D193" s="427"/>
      <c r="E193" s="427"/>
      <c r="F193" s="5"/>
      <c r="G193" s="5"/>
      <c r="H193" s="83"/>
    </row>
    <row r="194" spans="1:8" x14ac:dyDescent="0.2">
      <c r="A194" s="208" t="s">
        <v>622</v>
      </c>
      <c r="B194" s="208" t="s">
        <v>614</v>
      </c>
      <c r="C194" s="209"/>
      <c r="D194" s="214" t="s">
        <v>617</v>
      </c>
      <c r="E194" s="217"/>
      <c r="F194" s="81"/>
      <c r="G194" s="81"/>
      <c r="H194" s="83"/>
    </row>
    <row r="195" spans="1:8" x14ac:dyDescent="0.2">
      <c r="A195" s="74" t="str">
        <f>H22</f>
        <v>Downcycling</v>
      </c>
      <c r="B195" s="14">
        <f>SUMIF($H$4:$H$125,A195,$C$4:$C$125)</f>
        <v>5296</v>
      </c>
      <c r="C195" s="75">
        <f>B195/$C$1</f>
        <v>0.91483848678528246</v>
      </c>
      <c r="D195" s="306">
        <f>SUMIF($H$4:$H$125,A195,$I$4:$I$125)</f>
        <v>155.82349999999983</v>
      </c>
      <c r="E195" s="75">
        <f>D195/$E$1</f>
        <v>0.89647504861406713</v>
      </c>
      <c r="F195" s="81"/>
      <c r="G195" s="81"/>
      <c r="H195" s="83"/>
    </row>
    <row r="196" spans="1:8" x14ac:dyDescent="0.2">
      <c r="A196" s="74" t="s">
        <v>441</v>
      </c>
      <c r="B196" s="14">
        <f>SUMIF($H$4:$H$125,A196,$C$4:$C$125)</f>
        <v>493</v>
      </c>
      <c r="C196" s="75">
        <f>B196/$C$1</f>
        <v>8.5161513214717571E-2</v>
      </c>
      <c r="D196" s="306">
        <f>SUMIF($H$4:$H$125,A196,$I$4:$I$125)</f>
        <v>17.994499999999999</v>
      </c>
      <c r="E196" s="75">
        <f>D196/$E$1</f>
        <v>0.10352495138593247</v>
      </c>
      <c r="F196" s="81"/>
      <c r="G196" s="81"/>
      <c r="H196" s="83"/>
    </row>
    <row r="197" spans="1:8" x14ac:dyDescent="0.2">
      <c r="A197" s="82"/>
      <c r="B197" s="262">
        <f>B195+B196-$C$1</f>
        <v>0</v>
      </c>
      <c r="C197" s="80"/>
      <c r="D197" s="226">
        <f>D195+D196-$E$1</f>
        <v>0</v>
      </c>
      <c r="E197" s="81"/>
      <c r="F197" s="81"/>
      <c r="G197" s="81"/>
      <c r="H197" s="83"/>
    </row>
    <row r="198" spans="1:8" x14ac:dyDescent="0.2">
      <c r="A198" s="82"/>
      <c r="B198" s="82"/>
      <c r="C198" s="80"/>
      <c r="D198" s="80"/>
      <c r="E198" s="81"/>
      <c r="F198" s="81"/>
      <c r="G198" s="81"/>
      <c r="H198" s="83"/>
    </row>
    <row r="199" spans="1:8" x14ac:dyDescent="0.2">
      <c r="A199" s="82"/>
      <c r="B199" s="82"/>
      <c r="C199" s="80"/>
      <c r="D199" s="80"/>
      <c r="E199" s="81"/>
      <c r="F199" s="81"/>
      <c r="G199" s="81"/>
      <c r="H199" s="83"/>
    </row>
    <row r="200" spans="1:8" x14ac:dyDescent="0.2">
      <c r="A200" s="82"/>
      <c r="B200" s="82"/>
      <c r="C200" s="80"/>
      <c r="D200" s="80"/>
      <c r="E200" s="81"/>
      <c r="F200" s="81"/>
      <c r="G200" s="81"/>
      <c r="H200" s="83"/>
    </row>
    <row r="201" spans="1:8" x14ac:dyDescent="0.2">
      <c r="A201" s="82"/>
      <c r="B201" s="82"/>
      <c r="C201" s="80"/>
      <c r="D201" s="80"/>
      <c r="E201" s="81"/>
      <c r="F201" s="81"/>
      <c r="G201" s="81"/>
      <c r="H201" s="83"/>
    </row>
    <row r="202" spans="1:8" x14ac:dyDescent="0.2">
      <c r="A202" s="82"/>
      <c r="B202" s="82"/>
      <c r="C202" s="80"/>
      <c r="D202" s="80"/>
      <c r="E202" s="81"/>
      <c r="F202" s="81"/>
      <c r="G202" s="81"/>
      <c r="H202" s="83"/>
    </row>
    <row r="203" spans="1:8" x14ac:dyDescent="0.2">
      <c r="A203" s="82"/>
      <c r="B203" s="82"/>
      <c r="C203" s="80"/>
      <c r="D203" s="80"/>
      <c r="E203" s="81"/>
      <c r="F203" s="81"/>
      <c r="G203" s="81"/>
      <c r="H203" s="83"/>
    </row>
    <row r="204" spans="1:8" x14ac:dyDescent="0.2">
      <c r="A204" s="82"/>
      <c r="B204" s="82"/>
      <c r="C204" s="80"/>
      <c r="D204" s="80"/>
      <c r="E204" s="81"/>
      <c r="F204" s="81"/>
      <c r="G204" s="81"/>
      <c r="H204" s="83"/>
    </row>
    <row r="205" spans="1:8" x14ac:dyDescent="0.2">
      <c r="A205" s="82"/>
      <c r="B205" s="82"/>
      <c r="C205" s="80"/>
      <c r="D205" s="80"/>
      <c r="E205" s="81"/>
      <c r="F205" s="81"/>
      <c r="G205" s="81"/>
      <c r="H205" s="83"/>
    </row>
    <row r="206" spans="1:8" x14ac:dyDescent="0.2">
      <c r="A206" s="82"/>
      <c r="B206" s="82"/>
      <c r="C206" s="80"/>
      <c r="D206" s="80"/>
      <c r="E206" s="81"/>
      <c r="F206" s="81"/>
      <c r="G206" s="81"/>
      <c r="H206" s="83"/>
    </row>
    <row r="207" spans="1:8" x14ac:dyDescent="0.2">
      <c r="A207" s="82"/>
      <c r="B207" s="82"/>
      <c r="C207" s="80"/>
      <c r="D207" s="80"/>
      <c r="E207" s="81"/>
      <c r="F207" s="81"/>
      <c r="G207" s="81"/>
      <c r="H207" s="83"/>
    </row>
    <row r="208" spans="1:8" x14ac:dyDescent="0.2">
      <c r="A208" s="1"/>
      <c r="B208" s="1"/>
      <c r="C208" s="6"/>
      <c r="D208" s="6"/>
      <c r="E208" s="5"/>
      <c r="F208" s="5"/>
      <c r="G208" s="5"/>
    </row>
    <row r="209" spans="1:8" x14ac:dyDescent="0.2">
      <c r="C209" s="2"/>
      <c r="D209" s="2"/>
    </row>
    <row r="210" spans="1:8" x14ac:dyDescent="0.2">
      <c r="C210" s="2"/>
      <c r="D210" s="2"/>
    </row>
    <row r="211" spans="1:8" x14ac:dyDescent="0.2">
      <c r="C211" s="2"/>
      <c r="D211" s="2"/>
    </row>
    <row r="212" spans="1:8" x14ac:dyDescent="0.2">
      <c r="C212" s="2"/>
      <c r="D212" s="2"/>
    </row>
    <row r="213" spans="1:8" ht="17" thickBot="1" x14ac:dyDescent="0.25">
      <c r="C213" s="2"/>
      <c r="D213" s="2"/>
    </row>
    <row r="214" spans="1:8" x14ac:dyDescent="0.2">
      <c r="A214" s="413" t="s">
        <v>185</v>
      </c>
      <c r="B214" s="414"/>
      <c r="C214" s="414"/>
      <c r="D214" s="414"/>
      <c r="E214" s="415"/>
    </row>
    <row r="215" spans="1:8" x14ac:dyDescent="0.2">
      <c r="A215" s="213" t="s">
        <v>683</v>
      </c>
      <c r="B215" s="208" t="s">
        <v>614</v>
      </c>
      <c r="C215" s="209"/>
      <c r="D215" s="214" t="s">
        <v>617</v>
      </c>
      <c r="E215" s="215"/>
      <c r="F215" s="81"/>
      <c r="G215" s="81"/>
      <c r="H215" s="83"/>
    </row>
    <row r="216" spans="1:8" x14ac:dyDescent="0.2">
      <c r="A216" s="79" t="s">
        <v>294</v>
      </c>
      <c r="B216" s="91">
        <f>SUMIF($F$4:$F$125,A216,$C$4:$C$125)</f>
        <v>3037</v>
      </c>
      <c r="C216" s="296">
        <f>B216/$C$1</f>
        <v>0.52461565037139402</v>
      </c>
      <c r="D216" s="306">
        <f>SUMIF($F$4:$F$125,A216,$I$4:$I$125)</f>
        <v>90.649999999999991</v>
      </c>
      <c r="E216" s="297">
        <f>D216/$E$1</f>
        <v>0.52152251205283717</v>
      </c>
      <c r="F216" s="81"/>
      <c r="G216" s="81"/>
      <c r="H216" s="83"/>
    </row>
    <row r="217" spans="1:8" x14ac:dyDescent="0.2">
      <c r="A217" s="79" t="s">
        <v>458</v>
      </c>
      <c r="B217" s="91">
        <f>SUMIF($F$4:$F$125,A217,$C$4:$C$125)</f>
        <v>1698</v>
      </c>
      <c r="C217" s="296">
        <f>B217/$C$1</f>
        <v>0.29331490758334772</v>
      </c>
      <c r="D217" s="306">
        <f>SUMIF($F$4:$F$125,A217,$I$4:$I$125)</f>
        <v>44.697000000000024</v>
      </c>
      <c r="E217" s="297">
        <f t="shared" ref="E217:E218" si="49">D217/$E$1</f>
        <v>0.25714828153585961</v>
      </c>
      <c r="F217" s="81"/>
      <c r="G217" s="81"/>
      <c r="H217" s="83"/>
    </row>
    <row r="218" spans="1:8" ht="17" thickBot="1" x14ac:dyDescent="0.25">
      <c r="A218" s="84" t="s">
        <v>486</v>
      </c>
      <c r="B218" s="169">
        <f>SUMIF($F$4:$F$125,A218,$C$4:$C$125)</f>
        <v>1054</v>
      </c>
      <c r="C218" s="298">
        <f>B218/$C$1</f>
        <v>0.18206944204525824</v>
      </c>
      <c r="D218" s="307">
        <f>SUMIF($F$4:$F$125,A218,$I$4:$I$125)</f>
        <v>38.471000000000018</v>
      </c>
      <c r="E218" s="299">
        <f t="shared" si="49"/>
        <v>0.22132920641130402</v>
      </c>
      <c r="F218" s="81"/>
      <c r="G218" s="81"/>
      <c r="H218" s="83"/>
    </row>
    <row r="219" spans="1:8" x14ac:dyDescent="0.2">
      <c r="A219" s="82"/>
      <c r="B219" s="262">
        <f>SUM(B216:B218)-$C$1</f>
        <v>0</v>
      </c>
      <c r="C219" s="80"/>
      <c r="D219" s="262">
        <f>SUM(D216:D218)-$E$1</f>
        <v>0</v>
      </c>
      <c r="E219" s="81"/>
      <c r="F219" s="81"/>
      <c r="G219" s="81"/>
      <c r="H219" s="83"/>
    </row>
    <row r="220" spans="1:8" x14ac:dyDescent="0.2">
      <c r="A220" s="82"/>
      <c r="B220" s="82"/>
      <c r="C220" s="80"/>
      <c r="D220" s="80"/>
      <c r="E220" s="81"/>
      <c r="F220" s="81"/>
      <c r="G220" s="81"/>
      <c r="H220" s="83"/>
    </row>
    <row r="221" spans="1:8" x14ac:dyDescent="0.2">
      <c r="A221" s="82"/>
      <c r="B221" s="82"/>
      <c r="C221" s="80"/>
      <c r="D221" s="80"/>
      <c r="E221" s="81"/>
      <c r="F221" s="81"/>
      <c r="G221" s="81"/>
      <c r="H221" s="83"/>
    </row>
    <row r="222" spans="1:8" x14ac:dyDescent="0.2">
      <c r="A222" s="82"/>
      <c r="B222" s="82"/>
      <c r="C222" s="80"/>
      <c r="D222" s="80"/>
      <c r="E222" s="81"/>
      <c r="F222" s="81"/>
      <c r="G222" s="81"/>
      <c r="H222" s="83"/>
    </row>
    <row r="223" spans="1:8" x14ac:dyDescent="0.2">
      <c r="A223" s="82"/>
      <c r="B223" s="82"/>
      <c r="C223" s="80"/>
      <c r="D223" s="80"/>
      <c r="E223" s="81"/>
      <c r="F223" s="81"/>
      <c r="G223" s="81"/>
      <c r="H223" s="83"/>
    </row>
    <row r="224" spans="1:8" x14ac:dyDescent="0.2">
      <c r="A224" s="82"/>
      <c r="B224" s="83"/>
      <c r="C224" s="80"/>
      <c r="D224" s="80"/>
      <c r="E224" s="81"/>
      <c r="F224" s="81"/>
      <c r="G224" s="81"/>
      <c r="H224" s="83"/>
    </row>
    <row r="225" spans="1:8" x14ac:dyDescent="0.2">
      <c r="A225" s="82"/>
      <c r="B225" s="82"/>
      <c r="C225" s="80"/>
      <c r="D225" s="80"/>
      <c r="E225" s="81"/>
      <c r="F225" s="81"/>
      <c r="G225" s="81"/>
      <c r="H225" s="83"/>
    </row>
    <row r="226" spans="1:8" x14ac:dyDescent="0.2">
      <c r="A226" s="82"/>
      <c r="B226" s="82"/>
      <c r="C226" s="80"/>
      <c r="D226" s="80"/>
      <c r="E226" s="81"/>
      <c r="F226" s="81"/>
      <c r="G226" s="81"/>
      <c r="H226" s="83"/>
    </row>
    <row r="227" spans="1:8" x14ac:dyDescent="0.2">
      <c r="A227" s="82"/>
      <c r="B227" s="82"/>
      <c r="C227" s="80"/>
      <c r="D227" s="80"/>
      <c r="E227" s="81"/>
      <c r="F227" s="81"/>
      <c r="G227" s="81"/>
      <c r="H227" s="83"/>
    </row>
    <row r="228" spans="1:8" x14ac:dyDescent="0.2">
      <c r="C228" s="2"/>
      <c r="D228" s="2"/>
    </row>
    <row r="229" spans="1:8" x14ac:dyDescent="0.2">
      <c r="C229" s="2"/>
      <c r="D229" s="2"/>
    </row>
    <row r="230" spans="1:8" x14ac:dyDescent="0.2">
      <c r="C230" s="2"/>
      <c r="D230" s="2"/>
    </row>
    <row r="231" spans="1:8" x14ac:dyDescent="0.2">
      <c r="C231" s="2"/>
      <c r="D231" s="2"/>
    </row>
    <row r="232" spans="1:8" x14ac:dyDescent="0.2">
      <c r="C232" s="2"/>
      <c r="D232" s="2"/>
    </row>
    <row r="233" spans="1:8" x14ac:dyDescent="0.2">
      <c r="C233" s="2"/>
      <c r="D233" s="2"/>
    </row>
    <row r="234" spans="1:8" x14ac:dyDescent="0.2">
      <c r="C234" s="2"/>
      <c r="D234" s="2"/>
    </row>
    <row r="235" spans="1:8" x14ac:dyDescent="0.2">
      <c r="C235" s="2"/>
      <c r="D235" s="2"/>
    </row>
    <row r="236" spans="1:8" x14ac:dyDescent="0.2">
      <c r="C236" s="2"/>
      <c r="D236" s="2"/>
    </row>
    <row r="237" spans="1:8" x14ac:dyDescent="0.2">
      <c r="C237" s="2"/>
      <c r="D237" s="2"/>
    </row>
    <row r="238" spans="1:8" x14ac:dyDescent="0.2">
      <c r="C238" s="2"/>
      <c r="D238" s="2"/>
    </row>
    <row r="239" spans="1:8" x14ac:dyDescent="0.2">
      <c r="C239" s="2"/>
      <c r="D239" s="2"/>
    </row>
    <row r="240" spans="1:8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</sheetData>
  <mergeCells count="7">
    <mergeCell ref="A214:E214"/>
    <mergeCell ref="C3:D3"/>
    <mergeCell ref="C1:D1"/>
    <mergeCell ref="A128:E128"/>
    <mergeCell ref="A151:E151"/>
    <mergeCell ref="A171:E171"/>
    <mergeCell ref="A193:E193"/>
  </mergeCells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8670-0BDC-6B4E-AEB8-BFFA77A354CD}">
  <sheetPr>
    <tabColor theme="1"/>
  </sheetPr>
  <dimension ref="A1:T160"/>
  <sheetViews>
    <sheetView zoomScaleNormal="100" workbookViewId="0"/>
  </sheetViews>
  <sheetFormatPr baseColWidth="10" defaultColWidth="10.6640625" defaultRowHeight="16" x14ac:dyDescent="0.2"/>
  <cols>
    <col min="1" max="1" width="28.6640625" style="1" customWidth="1"/>
    <col min="2" max="2" width="33.1640625" style="1" customWidth="1"/>
    <col min="3" max="3" width="7.1640625" customWidth="1"/>
    <col min="4" max="4" width="6.5" customWidth="1"/>
    <col min="5" max="6" width="21" customWidth="1"/>
    <col min="7" max="7" width="11.33203125" customWidth="1"/>
    <col min="8" max="8" width="40" customWidth="1"/>
    <col min="9" max="9" width="11.83203125" style="157" customWidth="1"/>
    <col min="10" max="10" width="11.83203125" style="158" customWidth="1"/>
    <col min="11" max="11" width="10.83203125" style="143"/>
  </cols>
  <sheetData>
    <row r="1" spans="1:11" s="4" customFormat="1" ht="34" x14ac:dyDescent="0.4">
      <c r="A1" s="3" t="s">
        <v>668</v>
      </c>
      <c r="B1" s="152"/>
      <c r="C1" s="420">
        <f>'PET bot.'!C1+'Non-PET'!C1+'Plastic bags'!C1</f>
        <v>13562</v>
      </c>
      <c r="D1" s="428"/>
      <c r="E1" s="108">
        <f>'PET bot.'!E1+'Non-PET'!E1+'Plastic bags'!E1</f>
        <v>494.71799999999985</v>
      </c>
      <c r="F1" s="107" t="s">
        <v>236</v>
      </c>
      <c r="I1" s="155"/>
      <c r="J1" s="156"/>
      <c r="K1" s="142"/>
    </row>
    <row r="2" spans="1:11" x14ac:dyDescent="0.2">
      <c r="D2" s="8"/>
    </row>
    <row r="4" spans="1:11" s="83" customFormat="1" ht="17" thickBot="1" x14ac:dyDescent="0.25">
      <c r="A4" s="82"/>
      <c r="B4" s="82"/>
      <c r="C4" s="81"/>
      <c r="D4" s="179"/>
      <c r="E4" s="81"/>
      <c r="F4" s="81"/>
      <c r="G4" s="81"/>
      <c r="H4" s="81"/>
      <c r="I4" s="180"/>
      <c r="J4" s="110"/>
      <c r="K4" s="181">
        <f t="shared" ref="K4" si="0">J4*C4/1000</f>
        <v>0</v>
      </c>
    </row>
    <row r="5" spans="1:11" x14ac:dyDescent="0.2">
      <c r="A5" s="413" t="s">
        <v>685</v>
      </c>
      <c r="B5" s="414"/>
      <c r="C5" s="414"/>
      <c r="D5" s="414"/>
      <c r="E5" s="415"/>
      <c r="F5" s="81"/>
      <c r="G5" s="81"/>
      <c r="H5" s="81"/>
      <c r="I5"/>
      <c r="J5"/>
      <c r="K5"/>
    </row>
    <row r="6" spans="1:11" x14ac:dyDescent="0.2">
      <c r="A6" s="213" t="s">
        <v>613</v>
      </c>
      <c r="B6" s="208" t="s">
        <v>614</v>
      </c>
      <c r="C6" s="288"/>
      <c r="D6" s="214" t="s">
        <v>617</v>
      </c>
      <c r="E6" s="215"/>
      <c r="F6" s="81"/>
      <c r="G6" s="81"/>
      <c r="H6" s="81"/>
      <c r="I6"/>
      <c r="J6"/>
      <c r="K6"/>
    </row>
    <row r="7" spans="1:11" x14ac:dyDescent="0.2">
      <c r="A7" s="349" t="str">
        <f>'PET bot.'!A69</f>
        <v>MCS</v>
      </c>
      <c r="B7" s="74">
        <f>'PET bot.'!B69+SUM('Non-PET'!C27:C29)+'Plastic bags'!C91</f>
        <v>2868</v>
      </c>
      <c r="C7" s="227">
        <f>B7/$C$1</f>
        <v>0.21147323403627782</v>
      </c>
      <c r="D7" s="294">
        <f>'PET bot.'!D69+SUM('Non-PET'!I27:I29)+'Plastic bags'!I91</f>
        <v>114.86299999999997</v>
      </c>
      <c r="E7" s="210">
        <f>D7/E$1</f>
        <v>0.23217873616888815</v>
      </c>
      <c r="F7" s="81"/>
      <c r="G7" s="81"/>
      <c r="H7" s="81"/>
      <c r="I7"/>
      <c r="J7"/>
      <c r="K7"/>
    </row>
    <row r="8" spans="1:11" x14ac:dyDescent="0.2">
      <c r="A8" s="349" t="str">
        <f>'PET bot.'!A71</f>
        <v>Vitafit</v>
      </c>
      <c r="B8" s="74">
        <f>'PET bot.'!B71+'Non-PET'!B108</f>
        <v>1198</v>
      </c>
      <c r="C8" s="227">
        <f>B8/$C$1</f>
        <v>8.8335053826869195E-2</v>
      </c>
      <c r="D8" s="294">
        <f>'PET bot.'!D71+'Non-PET'!D108</f>
        <v>49.824999999999996</v>
      </c>
      <c r="E8" s="210">
        <f>D8/E$1</f>
        <v>0.10071394208417728</v>
      </c>
      <c r="F8" s="81"/>
      <c r="G8" s="81"/>
      <c r="H8" s="81"/>
      <c r="I8"/>
      <c r="J8"/>
      <c r="K8"/>
    </row>
    <row r="9" spans="1:11" x14ac:dyDescent="0.2">
      <c r="A9" s="349" t="str">
        <f>'PET bot.'!A70</f>
        <v>APU</v>
      </c>
      <c r="B9" s="74">
        <f>'PET bot.'!B70+'Plastic bags'!C43</f>
        <v>1114</v>
      </c>
      <c r="C9" s="227">
        <f t="shared" ref="C9" si="1">B9/$C$1</f>
        <v>8.2141277097773191E-2</v>
      </c>
      <c r="D9" s="294">
        <f>'PET bot.'!D70+'Plastic bags'!I43</f>
        <v>44.518000000000001</v>
      </c>
      <c r="E9" s="210">
        <f t="shared" ref="E9:E17" si="2">D9/E$1</f>
        <v>8.9986618639305654E-2</v>
      </c>
      <c r="F9" s="81"/>
      <c r="G9" s="81"/>
      <c r="H9" s="81"/>
      <c r="I9"/>
      <c r="J9"/>
      <c r="K9"/>
    </row>
    <row r="10" spans="1:11" x14ac:dyDescent="0.2">
      <c r="A10" s="349" t="str">
        <f>'PET bot.'!A72</f>
        <v>GN Beverages LLC</v>
      </c>
      <c r="B10" s="74">
        <f>'PET bot.'!B72</f>
        <v>260</v>
      </c>
      <c r="C10" s="227">
        <f>B10/$C$1</f>
        <v>1.9171213685297155E-2</v>
      </c>
      <c r="D10" s="294">
        <f>'PET bot.'!D72</f>
        <v>10.4</v>
      </c>
      <c r="E10" s="210">
        <f t="shared" si="2"/>
        <v>2.1022077223792148E-2</v>
      </c>
      <c r="F10" s="81"/>
      <c r="G10" s="81"/>
      <c r="H10" s="81"/>
      <c r="I10"/>
      <c r="J10"/>
      <c r="K10"/>
    </row>
    <row r="11" spans="1:11" x14ac:dyDescent="0.2">
      <c r="A11" s="349" t="str">
        <f>'Plastic bags'!A130</f>
        <v>Teso</v>
      </c>
      <c r="B11" s="74">
        <f>'Non-PET'!B114+'Plastic bags'!B130+'PET bot.'!C44</f>
        <v>184</v>
      </c>
      <c r="C11" s="227">
        <f>B11/$C$1</f>
        <v>1.3567320454210293E-2</v>
      </c>
      <c r="D11" s="294">
        <f>'PET bot.'!D75+'Plastic bags'!D130+'PET bot.'!I44</f>
        <v>9.3584999999999994</v>
      </c>
      <c r="E11" s="210">
        <f>D11/E$1</f>
        <v>1.8916837471044116E-2</v>
      </c>
      <c r="F11" s="81"/>
      <c r="G11" s="81"/>
      <c r="H11" s="81"/>
      <c r="I11"/>
      <c r="J11"/>
      <c r="K11"/>
    </row>
    <row r="12" spans="1:11" x14ac:dyDescent="0.2">
      <c r="A12" s="349" t="str">
        <f>'Plastic bags'!A131</f>
        <v>M International Mongolia</v>
      </c>
      <c r="B12" s="74">
        <f>'Plastic bags'!B131</f>
        <v>149</v>
      </c>
      <c r="C12" s="227">
        <f>B12/$C$1</f>
        <v>1.0986580150420292E-2</v>
      </c>
      <c r="D12" s="294">
        <f>'Plastic bags'!D131</f>
        <v>5.4385000000000003</v>
      </c>
      <c r="E12" s="210">
        <f>D12/E$1</f>
        <v>1.0993131440537846E-2</v>
      </c>
      <c r="F12" s="81"/>
      <c r="G12" s="81"/>
      <c r="H12" s="81"/>
      <c r="I12"/>
      <c r="J12"/>
      <c r="K12"/>
    </row>
    <row r="13" spans="1:11" x14ac:dyDescent="0.2">
      <c r="A13" s="349" t="str">
        <f>'PET bot.'!A77</f>
        <v>Monos Group LLC</v>
      </c>
      <c r="B13" s="74">
        <f>'PET bot.'!B77+'Non-PET'!B116+'Plastic bags'!B140</f>
        <v>134</v>
      </c>
      <c r="C13" s="227">
        <f>B13/$C$1</f>
        <v>9.8805485916531478E-3</v>
      </c>
      <c r="D13" s="294">
        <f>'PET bot.'!D77+'Non-PET'!D116+'Plastic bags'!D140</f>
        <v>5.4495000000000005</v>
      </c>
      <c r="E13" s="210">
        <f>D13/E$1</f>
        <v>1.1015366329909165E-2</v>
      </c>
      <c r="F13" s="81"/>
      <c r="G13" s="81"/>
      <c r="H13" s="81"/>
      <c r="I13"/>
      <c r="J13"/>
      <c r="K13"/>
    </row>
    <row r="14" spans="1:11" x14ac:dyDescent="0.2">
      <c r="A14" s="349" t="str">
        <f>'PET bot.'!A73</f>
        <v>MGL aqua LLC</v>
      </c>
      <c r="B14" s="74">
        <f>'PET bot.'!B73</f>
        <v>120</v>
      </c>
      <c r="C14" s="227">
        <f t="shared" ref="C14:C15" si="3">B14/$C$1</f>
        <v>8.8482524701371471E-3</v>
      </c>
      <c r="D14" s="294">
        <f>'PET bot.'!D73</f>
        <v>4.8</v>
      </c>
      <c r="E14" s="210">
        <f t="shared" si="2"/>
        <v>9.7024971802117596E-3</v>
      </c>
      <c r="F14" s="81"/>
      <c r="G14" s="81"/>
      <c r="H14" s="81"/>
      <c r="I14"/>
      <c r="J14"/>
      <c r="K14"/>
    </row>
    <row r="15" spans="1:11" x14ac:dyDescent="0.2">
      <c r="A15" s="349" t="str">
        <f>'PET bot.'!A74</f>
        <v>Lucha LLC</v>
      </c>
      <c r="B15" s="74">
        <f>'PET bot.'!B74</f>
        <v>119</v>
      </c>
      <c r="C15" s="227">
        <f t="shared" si="3"/>
        <v>8.7745170328860055E-3</v>
      </c>
      <c r="D15" s="294">
        <f>'PET bot.'!D74</f>
        <v>4.76</v>
      </c>
      <c r="E15" s="210">
        <f t="shared" si="2"/>
        <v>9.6216430370433276E-3</v>
      </c>
      <c r="F15" s="81"/>
      <c r="G15" s="81"/>
      <c r="H15" s="81"/>
      <c r="I15"/>
      <c r="J15"/>
      <c r="K15"/>
    </row>
    <row r="16" spans="1:11" x14ac:dyDescent="0.2">
      <c r="A16" s="349" t="str">
        <f>'Plastic bags'!A132</f>
        <v>Nomin Foods LLC</v>
      </c>
      <c r="B16" s="74">
        <f>'PET bot.'!C43+'Non-PET'!C46+'Plastic bags'!B132</f>
        <v>103</v>
      </c>
      <c r="C16" s="227">
        <f>B16/$C$1</f>
        <v>7.5947500368677189E-3</v>
      </c>
      <c r="D16" s="294">
        <f>'PET bot.'!I43+'Non-PET'!I46+'Plastic bags'!D132</f>
        <v>3.8654999999999999</v>
      </c>
      <c r="E16" s="210">
        <f t="shared" si="2"/>
        <v>7.8135422604392827E-3</v>
      </c>
      <c r="F16" s="81"/>
      <c r="G16" s="81"/>
      <c r="H16" s="81"/>
      <c r="I16"/>
      <c r="J16"/>
      <c r="K16"/>
    </row>
    <row r="17" spans="1:11" ht="17" thickBot="1" x14ac:dyDescent="0.25">
      <c r="A17" s="84" t="str">
        <f>'Glass jars'!A66</f>
        <v>Others / unidentified</v>
      </c>
      <c r="B17" s="241">
        <f>C1-SUM(B7:B16)</f>
        <v>7313</v>
      </c>
      <c r="C17" s="229">
        <f>B17/$C$1</f>
        <v>0.53922725261760807</v>
      </c>
      <c r="D17" s="223">
        <f>E1-SUM(D7:D16)</f>
        <v>241.43999999999988</v>
      </c>
      <c r="E17" s="212">
        <f t="shared" si="2"/>
        <v>0.4880356081646513</v>
      </c>
      <c r="F17" s="81"/>
      <c r="G17" s="81"/>
      <c r="H17" s="81"/>
      <c r="I17"/>
      <c r="J17"/>
      <c r="K17"/>
    </row>
    <row r="18" spans="1:11" x14ac:dyDescent="0.2">
      <c r="A18" s="82"/>
      <c r="B18" s="262">
        <f>SUM(B7:B17)-$C$1</f>
        <v>0</v>
      </c>
      <c r="C18" s="78"/>
      <c r="D18" s="226">
        <f>SUM(D7:D17)-E1</f>
        <v>0</v>
      </c>
      <c r="E18" s="78"/>
      <c r="F18" s="81"/>
      <c r="G18" s="81"/>
      <c r="H18" s="81"/>
      <c r="I18"/>
      <c r="J18"/>
      <c r="K18"/>
    </row>
    <row r="19" spans="1:11" x14ac:dyDescent="0.2">
      <c r="A19" s="76"/>
      <c r="B19" s="82"/>
      <c r="C19" s="78"/>
      <c r="D19" s="228"/>
      <c r="E19" s="78"/>
      <c r="F19" s="81"/>
      <c r="G19" s="81"/>
      <c r="H19" s="81"/>
      <c r="I19"/>
      <c r="J19"/>
      <c r="K19"/>
    </row>
    <row r="20" spans="1:11" x14ac:dyDescent="0.2">
      <c r="A20" s="76"/>
      <c r="B20" s="82"/>
      <c r="C20" s="78"/>
      <c r="D20" s="228"/>
      <c r="E20" s="78"/>
      <c r="F20" s="81"/>
      <c r="G20" s="81"/>
      <c r="H20" s="81"/>
      <c r="I20"/>
      <c r="J20"/>
      <c r="K20"/>
    </row>
    <row r="21" spans="1:11" x14ac:dyDescent="0.2">
      <c r="A21" s="76"/>
      <c r="B21" s="82"/>
      <c r="C21" s="78"/>
      <c r="D21" s="228"/>
      <c r="E21" s="78"/>
      <c r="F21" s="81"/>
      <c r="G21" s="81"/>
      <c r="H21" s="81"/>
      <c r="I21"/>
      <c r="J21"/>
      <c r="K21"/>
    </row>
    <row r="22" spans="1:11" x14ac:dyDescent="0.2">
      <c r="A22" s="76"/>
      <c r="B22" s="82"/>
      <c r="C22" s="78"/>
      <c r="D22" s="228"/>
      <c r="E22" s="78"/>
      <c r="F22" s="81"/>
      <c r="G22" s="81"/>
      <c r="H22" s="81"/>
      <c r="I22"/>
      <c r="J22"/>
      <c r="K22"/>
    </row>
    <row r="23" spans="1:11" x14ac:dyDescent="0.2">
      <c r="A23" s="76"/>
      <c r="B23" s="82"/>
      <c r="C23" s="78"/>
      <c r="D23" s="228"/>
      <c r="E23" s="78"/>
      <c r="F23" s="81"/>
      <c r="G23" s="81"/>
      <c r="H23" s="81"/>
      <c r="I23"/>
      <c r="J23"/>
      <c r="K23"/>
    </row>
    <row r="24" spans="1:11" x14ac:dyDescent="0.2">
      <c r="A24" s="76"/>
      <c r="B24" s="82"/>
      <c r="C24" s="78"/>
      <c r="D24" s="228"/>
      <c r="E24" s="78"/>
      <c r="F24" s="81"/>
      <c r="G24" s="81"/>
      <c r="H24" s="81"/>
      <c r="I24"/>
      <c r="J24"/>
      <c r="K24"/>
    </row>
    <row r="25" spans="1:11" x14ac:dyDescent="0.2">
      <c r="A25" s="76"/>
      <c r="B25" s="82"/>
      <c r="C25" s="78"/>
      <c r="D25" s="228"/>
      <c r="E25" s="78"/>
      <c r="F25" s="81"/>
      <c r="G25" s="81"/>
      <c r="H25" s="81"/>
      <c r="I25"/>
      <c r="J25"/>
      <c r="K25"/>
    </row>
    <row r="26" spans="1:11" x14ac:dyDescent="0.2">
      <c r="A26" s="76"/>
      <c r="B26" s="82"/>
      <c r="C26" s="78"/>
      <c r="D26" s="228"/>
      <c r="E26" s="78"/>
      <c r="F26" s="81"/>
      <c r="G26" s="81"/>
      <c r="H26" s="81"/>
      <c r="I26"/>
      <c r="J26"/>
      <c r="K26"/>
    </row>
    <row r="27" spans="1:11" x14ac:dyDescent="0.2">
      <c r="A27" s="76"/>
      <c r="B27" s="82"/>
      <c r="C27" s="78"/>
      <c r="D27" s="228"/>
      <c r="E27" s="78"/>
      <c r="F27" s="81"/>
      <c r="G27" s="81"/>
      <c r="H27" s="81"/>
      <c r="I27"/>
      <c r="J27"/>
      <c r="K27"/>
    </row>
    <row r="28" spans="1:11" x14ac:dyDescent="0.2">
      <c r="A28" s="76"/>
      <c r="B28" s="82"/>
      <c r="C28" s="78"/>
      <c r="D28" s="228"/>
      <c r="E28" s="78"/>
      <c r="F28" s="81"/>
      <c r="G28" s="81"/>
      <c r="H28" s="81"/>
      <c r="I28"/>
      <c r="J28"/>
      <c r="K28"/>
    </row>
    <row r="29" spans="1:11" x14ac:dyDescent="0.2">
      <c r="A29" s="76"/>
      <c r="B29" s="82"/>
      <c r="C29" s="78"/>
      <c r="D29" s="228"/>
      <c r="E29" s="78"/>
      <c r="F29" s="81"/>
      <c r="G29" s="81"/>
      <c r="H29" s="81"/>
      <c r="I29"/>
      <c r="J29"/>
      <c r="K29"/>
    </row>
    <row r="30" spans="1:11" x14ac:dyDescent="0.2">
      <c r="A30" s="82"/>
      <c r="B30" s="82"/>
      <c r="C30" s="83"/>
      <c r="D30" s="228"/>
      <c r="E30" s="78"/>
      <c r="F30" s="81"/>
      <c r="G30" s="81"/>
      <c r="H30" s="81"/>
      <c r="I30"/>
      <c r="J30"/>
      <c r="K30"/>
    </row>
    <row r="31" spans="1:11" x14ac:dyDescent="0.2">
      <c r="A31" s="76"/>
      <c r="B31" s="82"/>
      <c r="C31" s="78"/>
      <c r="D31" s="80"/>
      <c r="E31" s="81"/>
      <c r="F31" s="81"/>
      <c r="G31" s="81"/>
      <c r="H31" s="81"/>
      <c r="I31"/>
      <c r="J31"/>
      <c r="K31"/>
    </row>
    <row r="32" spans="1:11" ht="17" thickBot="1" x14ac:dyDescent="0.25">
      <c r="C32" s="6"/>
      <c r="D32" s="6"/>
      <c r="E32" s="5"/>
      <c r="F32" s="5"/>
      <c r="G32" s="5"/>
      <c r="H32" s="5"/>
      <c r="I32"/>
      <c r="J32"/>
      <c r="K32"/>
    </row>
    <row r="33" spans="1:20" x14ac:dyDescent="0.2">
      <c r="A33" s="413" t="s">
        <v>626</v>
      </c>
      <c r="B33" s="414"/>
      <c r="C33" s="414"/>
      <c r="D33" s="414"/>
      <c r="E33" s="415"/>
      <c r="F33" s="81"/>
      <c r="G33" s="81"/>
      <c r="H33" s="81"/>
      <c r="I33"/>
      <c r="J33"/>
      <c r="K33"/>
    </row>
    <row r="34" spans="1:20" x14ac:dyDescent="0.2">
      <c r="A34" s="213" t="s">
        <v>627</v>
      </c>
      <c r="B34" s="208" t="s">
        <v>614</v>
      </c>
      <c r="C34" s="288"/>
      <c r="D34" s="214" t="s">
        <v>617</v>
      </c>
      <c r="E34" s="215"/>
      <c r="F34" s="81"/>
      <c r="G34" s="81"/>
      <c r="H34" s="81"/>
      <c r="I34"/>
      <c r="J34"/>
      <c r="K34"/>
    </row>
    <row r="35" spans="1:20" x14ac:dyDescent="0.2">
      <c r="A35" s="79" t="s">
        <v>630</v>
      </c>
      <c r="B35" s="234">
        <f>'PET bot.'!C1</f>
        <v>6674</v>
      </c>
      <c r="C35" s="75">
        <f>B35/$C$1</f>
        <v>0.49211030821412771</v>
      </c>
      <c r="D35" s="222">
        <f>'PET bot.'!E1</f>
        <v>266.95999999999998</v>
      </c>
      <c r="E35" s="210">
        <f>D35/E1</f>
        <v>0.53962055150611066</v>
      </c>
      <c r="F35" s="81"/>
      <c r="G35" s="81"/>
      <c r="H35" s="81"/>
      <c r="I35"/>
      <c r="J35"/>
      <c r="K35"/>
    </row>
    <row r="36" spans="1:20" x14ac:dyDescent="0.2">
      <c r="A36" s="310" t="s">
        <v>695</v>
      </c>
      <c r="B36" s="234">
        <f>'Plastic bags'!C1</f>
        <v>5789</v>
      </c>
      <c r="C36" s="75">
        <f>B36/$C$1</f>
        <v>0.42685444624686625</v>
      </c>
      <c r="D36" s="222">
        <f>'Plastic bags'!E1</f>
        <v>173.8179999999999</v>
      </c>
      <c r="E36" s="210">
        <f>D36/E1</f>
        <v>0.35134763643125971</v>
      </c>
      <c r="F36" s="81"/>
      <c r="G36" s="81"/>
      <c r="H36" s="81"/>
      <c r="I36"/>
      <c r="J36"/>
      <c r="K36"/>
    </row>
    <row r="37" spans="1:20" ht="17" thickBot="1" x14ac:dyDescent="0.25">
      <c r="A37" s="311" t="s">
        <v>694</v>
      </c>
      <c r="B37" s="241">
        <f>'Non-PET'!C1</f>
        <v>1099</v>
      </c>
      <c r="C37" s="85">
        <f>B37/$C$1</f>
        <v>8.103524553900604E-2</v>
      </c>
      <c r="D37" s="223">
        <f>'Non-PET'!E1</f>
        <v>53.939999999999969</v>
      </c>
      <c r="E37" s="212">
        <f>D37/E1</f>
        <v>0.10903181206262959</v>
      </c>
      <c r="F37" s="81"/>
      <c r="G37" s="81"/>
      <c r="H37" s="81"/>
      <c r="I37"/>
      <c r="J37"/>
      <c r="K37"/>
    </row>
    <row r="38" spans="1:20" x14ac:dyDescent="0.2">
      <c r="A38" s="76"/>
      <c r="B38" s="262">
        <f>SUM(B35:B37)-$C$1</f>
        <v>0</v>
      </c>
      <c r="C38" s="78"/>
      <c r="D38" s="226">
        <f>SUM(D35:D37)-E1</f>
        <v>0</v>
      </c>
      <c r="E38" s="81"/>
      <c r="F38" s="81"/>
      <c r="G38" s="81"/>
      <c r="H38" s="81"/>
      <c r="I38"/>
      <c r="J38"/>
      <c r="K38"/>
    </row>
    <row r="39" spans="1:20" x14ac:dyDescent="0.2">
      <c r="A39" s="76"/>
      <c r="B39" s="82"/>
      <c r="C39" s="78"/>
      <c r="D39" s="80"/>
      <c r="E39" s="81"/>
      <c r="F39" s="81"/>
      <c r="G39" s="81"/>
      <c r="H39" s="81"/>
      <c r="I39"/>
      <c r="J39"/>
      <c r="K39"/>
    </row>
    <row r="40" spans="1:20" x14ac:dyDescent="0.2">
      <c r="A40" s="76"/>
      <c r="B40" s="82"/>
      <c r="C40" s="78"/>
      <c r="D40" s="80"/>
      <c r="E40" s="81"/>
      <c r="F40" s="81"/>
      <c r="G40" s="81"/>
      <c r="H40" s="81"/>
      <c r="I40"/>
      <c r="J40"/>
      <c r="K40"/>
    </row>
    <row r="41" spans="1:20" x14ac:dyDescent="0.2">
      <c r="A41" s="76"/>
      <c r="B41" s="82"/>
      <c r="C41" s="78"/>
      <c r="D41" s="80"/>
      <c r="E41" s="81"/>
      <c r="F41" s="81"/>
      <c r="G41" s="81"/>
      <c r="H41" s="81"/>
      <c r="I41"/>
      <c r="J41"/>
      <c r="K41"/>
      <c r="T41" s="83"/>
    </row>
    <row r="42" spans="1:20" x14ac:dyDescent="0.2">
      <c r="A42" s="76"/>
      <c r="B42" s="82"/>
      <c r="C42" s="78"/>
      <c r="D42" s="80"/>
      <c r="E42" s="81"/>
      <c r="F42" s="81"/>
      <c r="G42" s="81"/>
      <c r="H42" s="81"/>
      <c r="I42"/>
      <c r="J42"/>
      <c r="K42"/>
      <c r="T42" s="83"/>
    </row>
    <row r="43" spans="1:20" x14ac:dyDescent="0.2">
      <c r="A43" s="76"/>
      <c r="B43" s="82"/>
      <c r="C43" s="78"/>
      <c r="D43" s="80"/>
      <c r="E43" s="81"/>
      <c r="F43" s="81"/>
      <c r="G43" s="81"/>
      <c r="H43" s="81"/>
      <c r="I43"/>
      <c r="J43"/>
      <c r="K43"/>
      <c r="T43" s="83"/>
    </row>
    <row r="44" spans="1:20" x14ac:dyDescent="0.2">
      <c r="A44" s="76"/>
      <c r="B44" s="82"/>
      <c r="C44" s="78"/>
      <c r="D44" s="80"/>
      <c r="E44" s="81"/>
      <c r="F44" s="81"/>
      <c r="G44" s="81"/>
      <c r="H44" s="81"/>
      <c r="I44"/>
      <c r="J44"/>
      <c r="K44"/>
      <c r="T44" s="83"/>
    </row>
    <row r="45" spans="1:20" x14ac:dyDescent="0.2">
      <c r="A45" s="76"/>
      <c r="B45" s="82"/>
      <c r="C45" s="78"/>
      <c r="D45" s="80"/>
      <c r="E45" s="81"/>
      <c r="F45" s="81"/>
      <c r="G45" s="81"/>
      <c r="H45" s="81"/>
      <c r="I45"/>
      <c r="J45"/>
      <c r="K45"/>
      <c r="T45" s="83"/>
    </row>
    <row r="46" spans="1:20" x14ac:dyDescent="0.2">
      <c r="A46" s="76"/>
      <c r="B46" s="82"/>
      <c r="C46" s="78"/>
      <c r="D46" s="80"/>
      <c r="E46" s="81"/>
      <c r="F46" s="81"/>
      <c r="G46" s="81"/>
      <c r="H46" s="81"/>
      <c r="I46"/>
      <c r="J46"/>
      <c r="K46"/>
      <c r="T46" s="317"/>
    </row>
    <row r="47" spans="1:20" x14ac:dyDescent="0.2">
      <c r="A47" s="76"/>
      <c r="B47" s="82"/>
      <c r="C47" s="78"/>
      <c r="D47" s="80"/>
      <c r="E47" s="81"/>
      <c r="F47" s="81"/>
      <c r="G47" s="81"/>
      <c r="H47" s="81"/>
      <c r="I47"/>
      <c r="J47"/>
      <c r="K47"/>
      <c r="T47" s="315"/>
    </row>
    <row r="48" spans="1:20" x14ac:dyDescent="0.2">
      <c r="A48" s="76"/>
      <c r="B48" s="82"/>
      <c r="C48" s="78"/>
      <c r="D48" s="80"/>
      <c r="E48" s="81"/>
      <c r="F48" s="81"/>
      <c r="G48" s="81"/>
      <c r="H48" s="81"/>
      <c r="I48"/>
      <c r="J48"/>
      <c r="K48"/>
      <c r="T48" s="76"/>
    </row>
    <row r="49" spans="1:20" x14ac:dyDescent="0.2">
      <c r="A49" s="216"/>
      <c r="C49" s="82"/>
      <c r="D49" s="80"/>
      <c r="E49" s="81"/>
      <c r="F49" s="81"/>
      <c r="G49" s="81"/>
      <c r="H49" s="81"/>
      <c r="I49"/>
      <c r="J49"/>
      <c r="K49"/>
      <c r="T49" s="76"/>
    </row>
    <row r="50" spans="1:20" x14ac:dyDescent="0.2">
      <c r="A50" s="216"/>
      <c r="B50" s="76"/>
      <c r="C50" s="82"/>
      <c r="D50" s="80"/>
      <c r="E50" s="81"/>
      <c r="F50" s="81"/>
      <c r="G50" s="81"/>
      <c r="H50" s="81"/>
      <c r="I50"/>
      <c r="J50"/>
      <c r="K50"/>
      <c r="T50" s="76"/>
    </row>
    <row r="51" spans="1:20" x14ac:dyDescent="0.2">
      <c r="A51" s="216"/>
      <c r="B51" s="76"/>
      <c r="C51" s="82"/>
      <c r="D51" s="80"/>
      <c r="E51" s="81"/>
      <c r="F51" s="81"/>
      <c r="G51" s="81"/>
      <c r="H51" s="81"/>
      <c r="I51"/>
      <c r="J51"/>
      <c r="K51"/>
      <c r="T51" s="76"/>
    </row>
    <row r="52" spans="1:20" x14ac:dyDescent="0.2">
      <c r="A52" s="216"/>
      <c r="B52" s="76"/>
      <c r="C52" s="82"/>
      <c r="D52" s="80"/>
      <c r="E52" s="81"/>
      <c r="F52" s="81"/>
      <c r="G52" s="81"/>
      <c r="H52" s="81"/>
      <c r="I52"/>
      <c r="J52"/>
      <c r="K52"/>
      <c r="T52" s="76"/>
    </row>
    <row r="53" spans="1:20" x14ac:dyDescent="0.2">
      <c r="A53" s="216"/>
      <c r="B53" s="76"/>
      <c r="C53" s="82"/>
      <c r="D53" s="80"/>
      <c r="E53" s="81"/>
      <c r="F53" s="81"/>
      <c r="G53" s="81"/>
      <c r="H53" s="81"/>
      <c r="I53"/>
      <c r="J53"/>
      <c r="K53"/>
      <c r="T53" s="76"/>
    </row>
    <row r="54" spans="1:20" ht="17" thickBot="1" x14ac:dyDescent="0.25"/>
    <row r="55" spans="1:20" x14ac:dyDescent="0.2">
      <c r="A55" s="413" t="s">
        <v>185</v>
      </c>
      <c r="B55" s="414"/>
      <c r="C55" s="414"/>
      <c r="D55" s="414"/>
      <c r="E55" s="415"/>
      <c r="I55"/>
      <c r="J55"/>
    </row>
    <row r="56" spans="1:20" x14ac:dyDescent="0.2">
      <c r="A56" s="213" t="s">
        <v>683</v>
      </c>
      <c r="B56" s="208" t="s">
        <v>614</v>
      </c>
      <c r="C56" s="288"/>
      <c r="D56" s="214" t="s">
        <v>617</v>
      </c>
      <c r="E56" s="215"/>
      <c r="F56" s="81"/>
      <c r="G56" s="81"/>
      <c r="H56" s="83"/>
      <c r="I56"/>
      <c r="J56"/>
      <c r="K56"/>
    </row>
    <row r="57" spans="1:20" x14ac:dyDescent="0.2">
      <c r="A57" s="79" t="s">
        <v>187</v>
      </c>
      <c r="B57" s="234">
        <f>'PET bot.'!C1</f>
        <v>6674</v>
      </c>
      <c r="C57" s="75">
        <f>B57/$C$1</f>
        <v>0.49211030821412771</v>
      </c>
      <c r="D57" s="222">
        <f>'PET bot.'!E1</f>
        <v>266.95999999999998</v>
      </c>
      <c r="E57" s="210">
        <f>D57/$E$1</f>
        <v>0.53962055150611066</v>
      </c>
      <c r="F57" s="81"/>
      <c r="G57" s="81"/>
      <c r="H57" s="83"/>
      <c r="I57"/>
      <c r="J57"/>
      <c r="K57"/>
    </row>
    <row r="58" spans="1:20" s="320" customFormat="1" x14ac:dyDescent="0.2">
      <c r="A58" s="79" t="s">
        <v>294</v>
      </c>
      <c r="B58" s="74">
        <f>'Plastic bags'!B216</f>
        <v>3037</v>
      </c>
      <c r="C58" s="75">
        <f>B58/$C$1</f>
        <v>0.22393452293172098</v>
      </c>
      <c r="D58" s="294">
        <f>'Plastic bags'!D216</f>
        <v>90.649999999999991</v>
      </c>
      <c r="E58" s="210">
        <f>D58/$E$1</f>
        <v>0.18323570195545749</v>
      </c>
      <c r="F58" s="318"/>
      <c r="G58" s="318"/>
      <c r="H58" s="319"/>
    </row>
    <row r="59" spans="1:20" x14ac:dyDescent="0.2">
      <c r="A59" s="79" t="s">
        <v>458</v>
      </c>
      <c r="B59" s="14">
        <f>'Plastic bags'!B217</f>
        <v>1698</v>
      </c>
      <c r="C59" s="75">
        <f>B59/$C$1</f>
        <v>0.12520277245244063</v>
      </c>
      <c r="D59" s="222">
        <f>'Plastic bags'!D217</f>
        <v>44.697000000000024</v>
      </c>
      <c r="E59" s="210">
        <f>D59/$E$1</f>
        <v>9.0348440929984425E-2</v>
      </c>
      <c r="F59" s="81"/>
      <c r="G59" s="81"/>
      <c r="H59" s="83"/>
      <c r="I59"/>
      <c r="J59"/>
      <c r="K59"/>
    </row>
    <row r="60" spans="1:20" x14ac:dyDescent="0.2">
      <c r="A60" s="79" t="s">
        <v>486</v>
      </c>
      <c r="B60" s="14">
        <f>'Plastic bags'!B218</f>
        <v>1054</v>
      </c>
      <c r="C60" s="75">
        <f>B60/$C$1</f>
        <v>7.7717150862704615E-2</v>
      </c>
      <c r="D60" s="222">
        <f>'Plastic bags'!D218</f>
        <v>38.471000000000018</v>
      </c>
      <c r="E60" s="210">
        <f>D60/$E$1</f>
        <v>7.7763493545818088E-2</v>
      </c>
      <c r="F60" s="81"/>
      <c r="G60" s="81"/>
      <c r="H60" s="83"/>
      <c r="I60"/>
      <c r="J60"/>
      <c r="K60"/>
    </row>
    <row r="61" spans="1:20" x14ac:dyDescent="0.2">
      <c r="A61" s="79" t="s">
        <v>168</v>
      </c>
      <c r="B61" s="14">
        <f>'Non-PET'!B197</f>
        <v>444</v>
      </c>
      <c r="C61" s="75">
        <f t="shared" ref="C61:C65" si="4">B61/$C$1</f>
        <v>3.2738534139507447E-2</v>
      </c>
      <c r="D61" s="222">
        <f>'Non-PET'!D197</f>
        <v>30.989999999999988</v>
      </c>
      <c r="E61" s="210">
        <f t="shared" ref="E61:E65" si="5">D61/$E$1</f>
        <v>6.2641747419742155E-2</v>
      </c>
      <c r="F61" s="81"/>
      <c r="G61" s="81"/>
      <c r="H61" s="83"/>
      <c r="I61"/>
      <c r="J61"/>
      <c r="K61"/>
    </row>
    <row r="62" spans="1:20" x14ac:dyDescent="0.2">
      <c r="A62" s="79" t="s">
        <v>171</v>
      </c>
      <c r="B62" s="14">
        <f>'Non-PET'!B198</f>
        <v>168</v>
      </c>
      <c r="C62" s="75">
        <f t="shared" si="4"/>
        <v>1.2387553458192008E-2</v>
      </c>
      <c r="D62" s="222">
        <f>'Non-PET'!D198</f>
        <v>6.1000000000000023</v>
      </c>
      <c r="E62" s="210">
        <f t="shared" si="5"/>
        <v>1.2330256833185784E-2</v>
      </c>
      <c r="F62" s="81"/>
      <c r="G62" s="81"/>
      <c r="H62" s="83"/>
      <c r="I62"/>
      <c r="J62"/>
      <c r="K62"/>
    </row>
    <row r="63" spans="1:20" x14ac:dyDescent="0.2">
      <c r="A63" s="79" t="s">
        <v>692</v>
      </c>
      <c r="B63" s="14">
        <f>'Non-PET'!B199</f>
        <v>30</v>
      </c>
      <c r="C63" s="75">
        <f t="shared" si="4"/>
        <v>2.2120631175342868E-3</v>
      </c>
      <c r="D63" s="222">
        <f>'Non-PET'!D199</f>
        <v>1.8</v>
      </c>
      <c r="E63" s="210">
        <f t="shared" si="5"/>
        <v>3.6384364425794103E-3</v>
      </c>
      <c r="F63" s="81"/>
      <c r="G63" s="81"/>
      <c r="H63" s="83"/>
      <c r="I63"/>
      <c r="J63"/>
      <c r="K63"/>
    </row>
    <row r="64" spans="1:20" x14ac:dyDescent="0.2">
      <c r="A64" s="79" t="s">
        <v>172</v>
      </c>
      <c r="B64" s="14">
        <f>'Non-PET'!B200</f>
        <v>59</v>
      </c>
      <c r="C64" s="75">
        <f t="shared" si="4"/>
        <v>4.350390797817431E-3</v>
      </c>
      <c r="D64" s="222">
        <f>'Non-PET'!D200</f>
        <v>2.41</v>
      </c>
      <c r="E64" s="210">
        <f t="shared" si="5"/>
        <v>4.8714621258979882E-3</v>
      </c>
      <c r="F64" s="81"/>
      <c r="G64" s="81"/>
      <c r="H64" s="83"/>
      <c r="I64"/>
      <c r="J64"/>
      <c r="K64"/>
    </row>
    <row r="65" spans="1:20" ht="17" thickBot="1" x14ac:dyDescent="0.25">
      <c r="A65" s="84" t="s">
        <v>693</v>
      </c>
      <c r="B65" s="31">
        <f>'Non-PET'!B201</f>
        <v>398</v>
      </c>
      <c r="C65" s="85">
        <f t="shared" si="4"/>
        <v>2.9346704025954875E-2</v>
      </c>
      <c r="D65" s="223">
        <f>'Non-PET'!D201</f>
        <v>12.64</v>
      </c>
      <c r="E65" s="212">
        <f t="shared" si="5"/>
        <v>2.5549909241224304E-2</v>
      </c>
      <c r="F65" s="81"/>
      <c r="G65" s="81"/>
      <c r="H65" s="83"/>
      <c r="I65"/>
      <c r="J65"/>
      <c r="K65"/>
    </row>
    <row r="66" spans="1:20" x14ac:dyDescent="0.2">
      <c r="A66" s="82"/>
      <c r="B66" s="262">
        <f>SUM(B57:B65)-$C$1</f>
        <v>0</v>
      </c>
      <c r="C66" s="82"/>
      <c r="D66" s="226">
        <f>SUM(D57:D65)-$E$1</f>
        <v>0</v>
      </c>
      <c r="E66" s="81"/>
      <c r="F66" s="81"/>
      <c r="G66" s="81"/>
      <c r="H66" s="83"/>
      <c r="I66"/>
      <c r="J66"/>
      <c r="K66"/>
    </row>
    <row r="67" spans="1:20" x14ac:dyDescent="0.2">
      <c r="A67" s="82"/>
      <c r="B67" s="83"/>
      <c r="C67" s="80"/>
      <c r="D67" s="80"/>
      <c r="E67" s="81"/>
      <c r="F67" s="81"/>
      <c r="G67" s="81"/>
      <c r="H67" s="83"/>
      <c r="I67"/>
      <c r="J67"/>
      <c r="K67"/>
    </row>
    <row r="68" spans="1:20" x14ac:dyDescent="0.2">
      <c r="A68" s="82"/>
      <c r="B68" s="82"/>
      <c r="C68" s="80"/>
      <c r="D68" s="80"/>
      <c r="E68" s="81"/>
      <c r="F68" s="81"/>
      <c r="G68" s="81"/>
      <c r="H68" s="83"/>
      <c r="I68"/>
      <c r="J68"/>
      <c r="K68"/>
    </row>
    <row r="69" spans="1:20" x14ac:dyDescent="0.2">
      <c r="A69" s="82"/>
      <c r="B69" s="82"/>
      <c r="C69" s="80"/>
      <c r="D69" s="80"/>
      <c r="E69" s="81"/>
      <c r="F69" s="81"/>
      <c r="G69" s="81"/>
      <c r="H69" s="83"/>
      <c r="I69"/>
      <c r="J69"/>
      <c r="K69"/>
    </row>
    <row r="70" spans="1:20" x14ac:dyDescent="0.2">
      <c r="A70" s="82"/>
      <c r="B70" s="82"/>
      <c r="C70" s="80"/>
      <c r="D70" s="80"/>
      <c r="E70" s="81"/>
      <c r="F70" s="81"/>
      <c r="G70" s="81"/>
      <c r="H70" s="83"/>
      <c r="I70"/>
      <c r="J70"/>
      <c r="K70"/>
    </row>
    <row r="71" spans="1:20" x14ac:dyDescent="0.2">
      <c r="A71"/>
      <c r="B71"/>
      <c r="C71" s="2"/>
      <c r="D71" s="2"/>
      <c r="I71"/>
      <c r="J71"/>
      <c r="K71"/>
    </row>
    <row r="72" spans="1:20" x14ac:dyDescent="0.2">
      <c r="A72"/>
      <c r="B72"/>
      <c r="C72" s="2"/>
      <c r="D72" s="2"/>
      <c r="I72"/>
      <c r="J72"/>
      <c r="K72"/>
    </row>
    <row r="73" spans="1:20" x14ac:dyDescent="0.2">
      <c r="A73"/>
      <c r="B73"/>
      <c r="C73" s="2"/>
      <c r="D73" s="2"/>
      <c r="I73"/>
      <c r="J73"/>
      <c r="K73"/>
    </row>
    <row r="76" spans="1:20" ht="17" thickBot="1" x14ac:dyDescent="0.25">
      <c r="A76" s="216"/>
      <c r="B76" s="76"/>
      <c r="C76" s="82"/>
      <c r="D76" s="80"/>
      <c r="E76" s="81"/>
      <c r="F76" s="81"/>
      <c r="G76" s="81"/>
      <c r="H76" s="81"/>
      <c r="I76"/>
      <c r="J76"/>
      <c r="K76"/>
      <c r="T76" s="76"/>
    </row>
    <row r="77" spans="1:20" x14ac:dyDescent="0.2">
      <c r="A77" s="423" t="s">
        <v>689</v>
      </c>
      <c r="B77" s="414"/>
      <c r="C77" s="414"/>
      <c r="D77" s="414"/>
      <c r="E77" s="415"/>
      <c r="F77" s="81"/>
      <c r="G77" s="81"/>
      <c r="H77" s="81"/>
      <c r="I77"/>
      <c r="J77"/>
      <c r="K77"/>
      <c r="T77" s="76"/>
    </row>
    <row r="78" spans="1:20" x14ac:dyDescent="0.2">
      <c r="A78" s="213" t="s">
        <v>662</v>
      </c>
      <c r="B78" s="208" t="s">
        <v>614</v>
      </c>
      <c r="C78" s="288"/>
      <c r="D78" s="214" t="s">
        <v>617</v>
      </c>
      <c r="E78" s="215"/>
      <c r="F78" s="81"/>
      <c r="G78" s="81"/>
      <c r="H78" s="81"/>
      <c r="I78"/>
      <c r="J78"/>
      <c r="K78"/>
      <c r="T78" s="76"/>
    </row>
    <row r="79" spans="1:20" x14ac:dyDescent="0.2">
      <c r="A79" s="332" t="s">
        <v>663</v>
      </c>
      <c r="B79" s="14">
        <f>B105+B113+B104+B101+B106</f>
        <v>6407</v>
      </c>
      <c r="C79" s="75">
        <f>B79/$C$1</f>
        <v>0.47242294646807254</v>
      </c>
      <c r="D79" s="14">
        <f>D105+D113+D104+D101+D106</f>
        <v>255.48650000000001</v>
      </c>
      <c r="E79" s="210">
        <f>D79/$E$1</f>
        <v>0.51642855121503584</v>
      </c>
      <c r="F79" s="81"/>
      <c r="G79" s="81"/>
      <c r="H79" s="81"/>
      <c r="I79"/>
      <c r="J79"/>
      <c r="K79"/>
      <c r="T79" s="76"/>
    </row>
    <row r="80" spans="1:20" x14ac:dyDescent="0.2">
      <c r="A80" s="332" t="s">
        <v>664</v>
      </c>
      <c r="B80" s="14">
        <f>B108+B111+B102+B112</f>
        <v>3045</v>
      </c>
      <c r="C80" s="75">
        <f>B80/$C$1</f>
        <v>0.22452440642973012</v>
      </c>
      <c r="D80" s="14">
        <f>D108+D111+D102+D112</f>
        <v>91.147500000000008</v>
      </c>
      <c r="E80" s="210">
        <f>D80/$E$1</f>
        <v>0.1842413253611149</v>
      </c>
      <c r="F80" s="81"/>
      <c r="G80" s="81"/>
      <c r="H80" s="81"/>
      <c r="I80"/>
      <c r="J80"/>
      <c r="K80"/>
      <c r="T80" s="76"/>
    </row>
    <row r="81" spans="1:20" x14ac:dyDescent="0.2">
      <c r="A81" s="410" t="s">
        <v>691</v>
      </c>
      <c r="B81" s="14">
        <f>B115+B114+B110+B119+B120+B116+B121+B107+B109+B118+B103</f>
        <v>4000</v>
      </c>
      <c r="C81" s="75">
        <f>B81/$C$1</f>
        <v>0.2949417490045716</v>
      </c>
      <c r="D81" s="14">
        <f>D115+D114+D110+D119+D120+D116+D121+D107+D109+D118+D103</f>
        <v>139.28399999999999</v>
      </c>
      <c r="E81" s="210">
        <f>D81/$E$1</f>
        <v>0.28154221192679474</v>
      </c>
      <c r="F81" s="81"/>
      <c r="G81" s="81"/>
      <c r="H81" s="81"/>
      <c r="I81"/>
      <c r="J81"/>
      <c r="K81"/>
      <c r="T81" s="76"/>
    </row>
    <row r="82" spans="1:20" ht="17" thickBot="1" x14ac:dyDescent="0.25">
      <c r="A82" s="367" t="s">
        <v>690</v>
      </c>
      <c r="B82" s="31">
        <f>B117</f>
        <v>110</v>
      </c>
      <c r="C82" s="85">
        <f>B82/$C$1</f>
        <v>8.1108980976257183E-3</v>
      </c>
      <c r="D82" s="31">
        <f>D117</f>
        <v>8.8000000000000007</v>
      </c>
      <c r="E82" s="212">
        <f>D82/$E$1</f>
        <v>1.7787911497054894E-2</v>
      </c>
      <c r="F82" s="81"/>
      <c r="G82" s="81"/>
      <c r="H82" s="81"/>
      <c r="I82"/>
      <c r="J82"/>
      <c r="K82"/>
      <c r="T82" s="76"/>
    </row>
    <row r="83" spans="1:20" x14ac:dyDescent="0.2">
      <c r="A83" s="82"/>
      <c r="B83" s="262">
        <f ca="1">SUM(B79:B123)-$C$1</f>
        <v>0</v>
      </c>
      <c r="C83" s="78"/>
      <c r="D83" s="226">
        <f ca="1">SUM(D79:D123)-$E$1</f>
        <v>0</v>
      </c>
      <c r="E83" s="78"/>
      <c r="F83" s="81"/>
      <c r="G83" s="81"/>
      <c r="H83" s="81"/>
      <c r="I83"/>
      <c r="J83"/>
      <c r="K83"/>
      <c r="T83" s="76"/>
    </row>
    <row r="84" spans="1:20" x14ac:dyDescent="0.2">
      <c r="A84" s="76"/>
      <c r="B84" s="82"/>
      <c r="C84" s="78"/>
      <c r="D84" s="228"/>
      <c r="E84" s="78"/>
      <c r="F84" s="81"/>
      <c r="G84" s="81"/>
      <c r="H84" s="81"/>
      <c r="I84"/>
      <c r="J84"/>
      <c r="K84"/>
      <c r="T84" s="313"/>
    </row>
    <row r="85" spans="1:20" x14ac:dyDescent="0.2">
      <c r="A85" s="76"/>
      <c r="B85" s="82"/>
      <c r="C85" s="78"/>
      <c r="D85" s="228"/>
      <c r="E85" s="78"/>
      <c r="F85" s="81"/>
      <c r="G85" s="81"/>
      <c r="H85" s="81"/>
      <c r="I85"/>
      <c r="J85"/>
      <c r="K85"/>
      <c r="T85" s="313"/>
    </row>
    <row r="86" spans="1:20" x14ac:dyDescent="0.2">
      <c r="A86" s="76"/>
      <c r="B86" s="82"/>
      <c r="C86" s="78"/>
      <c r="D86" s="228"/>
      <c r="E86" s="78"/>
      <c r="F86" s="81"/>
      <c r="G86" s="81"/>
      <c r="H86" s="81"/>
      <c r="I86"/>
      <c r="J86"/>
      <c r="K86"/>
      <c r="T86" s="313"/>
    </row>
    <row r="87" spans="1:20" x14ac:dyDescent="0.2">
      <c r="A87" s="76"/>
      <c r="B87" s="82"/>
      <c r="C87" s="78"/>
      <c r="D87" s="228"/>
      <c r="E87" s="78"/>
      <c r="F87" s="81"/>
      <c r="G87" s="81"/>
      <c r="H87" s="81"/>
      <c r="I87"/>
      <c r="J87"/>
      <c r="K87"/>
      <c r="T87" s="313"/>
    </row>
    <row r="88" spans="1:20" x14ac:dyDescent="0.2">
      <c r="A88" s="76"/>
      <c r="B88" s="82"/>
      <c r="C88" s="78"/>
      <c r="D88" s="228"/>
      <c r="E88" s="78"/>
      <c r="F88" s="81"/>
      <c r="G88" s="81"/>
      <c r="H88" s="81"/>
      <c r="I88"/>
      <c r="J88"/>
      <c r="K88"/>
      <c r="T88" s="313"/>
    </row>
    <row r="89" spans="1:20" x14ac:dyDescent="0.2">
      <c r="A89" s="76"/>
      <c r="B89" s="82"/>
      <c r="C89" s="78"/>
      <c r="D89" s="228"/>
      <c r="E89" s="78"/>
      <c r="F89" s="81"/>
      <c r="G89" s="81"/>
      <c r="H89" s="81"/>
      <c r="I89"/>
      <c r="J89"/>
      <c r="K89"/>
      <c r="T89" s="76"/>
    </row>
    <row r="90" spans="1:20" x14ac:dyDescent="0.2">
      <c r="A90" s="76"/>
      <c r="B90" s="82"/>
      <c r="C90" s="78"/>
      <c r="D90" s="228"/>
      <c r="E90" s="78"/>
      <c r="F90" s="81"/>
      <c r="G90" s="81"/>
      <c r="H90" s="81"/>
      <c r="I90"/>
      <c r="J90"/>
      <c r="K90"/>
      <c r="T90" s="76"/>
    </row>
    <row r="91" spans="1:20" x14ac:dyDescent="0.2">
      <c r="A91" s="313"/>
      <c r="B91" s="82"/>
      <c r="C91" s="78"/>
      <c r="D91" s="228"/>
      <c r="E91" s="78"/>
      <c r="F91" s="81"/>
      <c r="G91" s="81"/>
      <c r="H91" s="81"/>
      <c r="I91"/>
      <c r="J91"/>
      <c r="K91"/>
      <c r="T91" s="76"/>
    </row>
    <row r="92" spans="1:20" x14ac:dyDescent="0.2">
      <c r="A92" s="76"/>
      <c r="B92" s="82"/>
      <c r="C92" s="78"/>
      <c r="D92" s="228"/>
      <c r="E92" s="78"/>
      <c r="F92" s="81"/>
      <c r="G92" s="81"/>
      <c r="H92" s="81"/>
      <c r="I92"/>
      <c r="J92"/>
      <c r="K92"/>
      <c r="T92" s="76"/>
    </row>
    <row r="93" spans="1:20" x14ac:dyDescent="0.2">
      <c r="A93" s="76"/>
      <c r="B93" s="82"/>
      <c r="C93" s="78"/>
      <c r="D93" s="228"/>
      <c r="E93" s="78"/>
      <c r="F93" s="81"/>
      <c r="G93" s="81"/>
      <c r="H93" s="81"/>
      <c r="I93"/>
      <c r="J93"/>
      <c r="K93"/>
      <c r="T93" s="76"/>
    </row>
    <row r="94" spans="1:20" x14ac:dyDescent="0.2">
      <c r="A94" s="76"/>
      <c r="B94" s="82"/>
      <c r="C94" s="78"/>
      <c r="D94" s="228"/>
      <c r="E94" s="78"/>
      <c r="F94" s="81"/>
      <c r="G94" s="81"/>
      <c r="H94" s="81"/>
      <c r="I94"/>
      <c r="J94"/>
      <c r="K94"/>
      <c r="T94" s="76"/>
    </row>
    <row r="95" spans="1:20" x14ac:dyDescent="0.2">
      <c r="A95" s="76"/>
      <c r="B95" s="82"/>
      <c r="C95" s="78"/>
      <c r="D95" s="228"/>
      <c r="E95" s="78"/>
      <c r="F95" s="81"/>
      <c r="G95" s="81"/>
      <c r="H95" s="81"/>
      <c r="I95"/>
      <c r="J95"/>
      <c r="K95"/>
      <c r="T95" s="76"/>
    </row>
    <row r="96" spans="1:20" x14ac:dyDescent="0.2">
      <c r="A96" s="76"/>
      <c r="B96" s="82"/>
      <c r="C96" s="78"/>
      <c r="D96" s="228"/>
      <c r="E96" s="78"/>
      <c r="F96" s="81"/>
      <c r="G96" s="81"/>
      <c r="H96" s="81"/>
      <c r="I96"/>
      <c r="J96"/>
      <c r="K96"/>
      <c r="T96" s="76"/>
    </row>
    <row r="97" spans="1:20" x14ac:dyDescent="0.2">
      <c r="A97" s="76"/>
      <c r="B97" s="82"/>
      <c r="C97" s="78"/>
      <c r="D97" s="228"/>
      <c r="E97" s="78"/>
      <c r="F97" s="81"/>
      <c r="G97" s="81"/>
      <c r="H97" s="81"/>
      <c r="I97"/>
      <c r="J97"/>
      <c r="K97"/>
      <c r="T97" s="76"/>
    </row>
    <row r="98" spans="1:20" ht="17" thickBot="1" x14ac:dyDescent="0.25">
      <c r="A98" s="76"/>
      <c r="B98" s="82"/>
      <c r="C98" s="78"/>
      <c r="D98" s="228"/>
      <c r="E98" s="78"/>
      <c r="F98" s="81"/>
      <c r="G98" s="81"/>
      <c r="H98" s="81"/>
      <c r="I98"/>
      <c r="J98"/>
      <c r="K98"/>
      <c r="T98" s="76"/>
    </row>
    <row r="99" spans="1:20" x14ac:dyDescent="0.2">
      <c r="A99" s="423" t="s">
        <v>686</v>
      </c>
      <c r="B99" s="414"/>
      <c r="C99" s="414"/>
      <c r="D99" s="414"/>
      <c r="E99" s="415"/>
      <c r="F99" s="81"/>
      <c r="G99" s="81"/>
      <c r="H99" s="81"/>
      <c r="I99"/>
      <c r="J99"/>
      <c r="K99"/>
      <c r="T99" s="76"/>
    </row>
    <row r="100" spans="1:20" x14ac:dyDescent="0.2">
      <c r="A100" s="213" t="s">
        <v>1</v>
      </c>
      <c r="B100" s="208" t="s">
        <v>614</v>
      </c>
      <c r="C100" s="288"/>
      <c r="D100" s="214" t="s">
        <v>617</v>
      </c>
      <c r="E100" s="215"/>
      <c r="F100" s="81"/>
      <c r="G100" s="81"/>
      <c r="H100" s="81"/>
      <c r="I100"/>
      <c r="J100"/>
      <c r="K100"/>
      <c r="T100" s="76"/>
    </row>
    <row r="101" spans="1:20" x14ac:dyDescent="0.2">
      <c r="A101" s="79" t="s">
        <v>22</v>
      </c>
      <c r="B101" s="14">
        <f>SUMIF('PET bot.'!A$87:A$98,'TOT. PLASTIC'!A101,'PET bot.'!B$87:B$98)+SUMIF('Non-PET'!A$132:A$142,'TOT. PLASTIC'!A101,'Non-PET'!B$132:B$142)+SUMIF('Plastic bags'!A$153:A$165,'TOT. PLASTIC'!A101,'Plastic bags'!B$153:B$165)</f>
        <v>3334</v>
      </c>
      <c r="C101" s="75">
        <f t="shared" ref="C101:C107" si="6">B101/$C$1</f>
        <v>0.24583394779531043</v>
      </c>
      <c r="D101" s="222">
        <f>SUMIF('PET bot.'!A$87:A$98,'TOT. PLASTIC'!A101,'PET bot.'!D$87:D$98)+SUMIF('Non-PET'!A$132:A$142,'TOT. PLASTIC'!A101,'Non-PET'!D$132:D$142)+SUMIF('Plastic bags'!A$153:A$165,'TOT. PLASTIC'!A101,'Plastic bags'!D$153:D$165)</f>
        <v>133.36000000000001</v>
      </c>
      <c r="E101" s="210">
        <f t="shared" ref="E101:E107" si="7">D101/$E$1</f>
        <v>0.26956771332355012</v>
      </c>
      <c r="F101" s="81"/>
      <c r="G101" s="81"/>
      <c r="H101" s="81"/>
      <c r="I101"/>
      <c r="J101"/>
      <c r="K101"/>
      <c r="T101" s="76"/>
    </row>
    <row r="102" spans="1:20" x14ac:dyDescent="0.2">
      <c r="A102" s="79" t="s">
        <v>616</v>
      </c>
      <c r="B102" s="14">
        <f>SUMIF('PET bot.'!A$87:A$98,'TOT. PLASTIC'!A102,'PET bot.'!B$87:B$98)+SUMIF('Non-PET'!A$132:A$142,'TOT. PLASTIC'!A102,'Non-PET'!B$132:B$142)+SUMIF('Plastic bags'!A$153:A$165,'TOT. PLASTIC'!A102,'Plastic bags'!B$153:B$165)</f>
        <v>2022</v>
      </c>
      <c r="C102" s="75">
        <f t="shared" si="6"/>
        <v>0.14909305412181095</v>
      </c>
      <c r="D102" s="222">
        <f>SUMIF('PET bot.'!A$87:A$98,'TOT. PLASTIC'!A102,'PET bot.'!D$87:D$98)+SUMIF('Non-PET'!A$132:A$142,'TOT. PLASTIC'!A102,'Non-PET'!D$132:D$142)+SUMIF('Plastic bags'!A$153:A$165,'TOT. PLASTIC'!A102,'Plastic bags'!D$153:D$165)</f>
        <v>67.966499999999996</v>
      </c>
      <c r="E102" s="210">
        <f t="shared" si="7"/>
        <v>0.13738432804142969</v>
      </c>
      <c r="F102" s="81"/>
      <c r="G102" s="81"/>
      <c r="H102" s="81"/>
      <c r="I102"/>
      <c r="J102"/>
      <c r="K102"/>
      <c r="T102" s="313"/>
    </row>
    <row r="103" spans="1:20" x14ac:dyDescent="0.2">
      <c r="A103" s="79" t="s">
        <v>736</v>
      </c>
      <c r="B103" s="14">
        <f>SUMIF('PET bot.'!A$87:A$98,'TOT. PLASTIC'!A103,'PET bot.'!B$87:B$98)+SUMIF('Non-PET'!A$132:A$142,'TOT. PLASTIC'!A103,'Non-PET'!B$132:B$142)+SUMIF('Plastic bags'!A$153:A$165,'TOT. PLASTIC'!A103,'Plastic bags'!B$153:B$165)</f>
        <v>1955</v>
      </c>
      <c r="C103" s="75">
        <f t="shared" si="6"/>
        <v>0.14415277982598437</v>
      </c>
      <c r="D103" s="222">
        <f>SUMIF('PET bot.'!A$87:A$98,'TOT. PLASTIC'!A103,'PET bot.'!D$87:D$98)+SUMIF('Non-PET'!A$132:A$142,'TOT. PLASTIC'!A103,'Non-PET'!D$132:D$142)+SUMIF('Plastic bags'!A$153:A$165,'TOT. PLASTIC'!A103,'Plastic bags'!D$153:D$165)</f>
        <v>82.11</v>
      </c>
      <c r="E103" s="210">
        <f t="shared" si="7"/>
        <v>0.16597334238899741</v>
      </c>
      <c r="F103" s="81"/>
      <c r="G103" s="81"/>
      <c r="H103" s="81"/>
      <c r="I103"/>
      <c r="J103"/>
      <c r="K103"/>
      <c r="T103" s="76"/>
    </row>
    <row r="104" spans="1:20" x14ac:dyDescent="0.2">
      <c r="A104" s="79" t="s">
        <v>39</v>
      </c>
      <c r="B104" s="14">
        <f>SUMIF('PET bot.'!A$87:A$98,'TOT. PLASTIC'!A104,'PET bot.'!B$87:B$98)+SUMIF('Non-PET'!A$132:A$142,'TOT. PLASTIC'!A104,'Non-PET'!B$132:B$142)+SUMIF('Plastic bags'!A$153:A$165,'TOT. PLASTIC'!A104,'Plastic bags'!B$153:B$165)</f>
        <v>1281</v>
      </c>
      <c r="C104" s="75">
        <f t="shared" si="6"/>
        <v>9.4455095118714055E-2</v>
      </c>
      <c r="D104" s="222">
        <f>SUMIF('PET bot.'!A$87:A$98,'TOT. PLASTIC'!A104,'PET bot.'!D$87:D$98)+SUMIF('Non-PET'!A$132:A$142,'TOT. PLASTIC'!A104,'Non-PET'!D$132:D$142)+SUMIF('Plastic bags'!A$153:A$165,'TOT. PLASTIC'!A104,'Plastic bags'!D$153:D$165)</f>
        <v>51.183999999999997</v>
      </c>
      <c r="E104" s="210">
        <f t="shared" si="7"/>
        <v>0.10346096159832473</v>
      </c>
      <c r="F104" s="81"/>
      <c r="G104" s="81"/>
      <c r="H104" s="81"/>
      <c r="I104"/>
      <c r="J104"/>
      <c r="K104"/>
      <c r="T104" s="313"/>
    </row>
    <row r="105" spans="1:20" x14ac:dyDescent="0.2">
      <c r="A105" s="79" t="s">
        <v>4</v>
      </c>
      <c r="B105" s="14">
        <f>SUMIF('PET bot.'!A$87:A$98,'TOT. PLASTIC'!A105,'PET bot.'!B$87:B$98)+SUMIF('Non-PET'!A$132:A$142,'TOT. PLASTIC'!A105,'Non-PET'!B$132:B$142)+SUMIF('Plastic bags'!A$153:A$165,'TOT. PLASTIC'!A105,'Plastic bags'!B$153:B$165)</f>
        <v>913</v>
      </c>
      <c r="C105" s="75">
        <f t="shared" si="6"/>
        <v>6.7320454210293465E-2</v>
      </c>
      <c r="D105" s="222">
        <f>SUMIF('PET bot.'!A$87:A$98,'TOT. PLASTIC'!A105,'PET bot.'!D$87:D$98)+SUMIF('Non-PET'!A$132:A$142,'TOT. PLASTIC'!A105,'Non-PET'!D$132:D$142)+SUMIF('Plastic bags'!A$153:A$165,'TOT. PLASTIC'!A105,'Plastic bags'!D$153:D$165)</f>
        <v>36.519999999999996</v>
      </c>
      <c r="E105" s="210">
        <f t="shared" si="7"/>
        <v>7.3819832712777797E-2</v>
      </c>
      <c r="F105" s="81"/>
      <c r="G105" s="81"/>
      <c r="H105" s="81"/>
      <c r="I105"/>
      <c r="J105"/>
      <c r="K105"/>
      <c r="T105" s="76"/>
    </row>
    <row r="106" spans="1:20" x14ac:dyDescent="0.2">
      <c r="A106" s="79" t="s">
        <v>91</v>
      </c>
      <c r="B106" s="14">
        <f>SUMIF('PET bot.'!A$87:A$98,'TOT. PLASTIC'!A106,'PET bot.'!B$87:B$98)+SUMIF('Non-PET'!A$132:A$142,'TOT. PLASTIC'!A106,'Non-PET'!B$132:B$142)+SUMIF('Plastic bags'!A$153:A$165,'TOT. PLASTIC'!A106,'Plastic bags'!B$153:B$165)</f>
        <v>658</v>
      </c>
      <c r="C106" s="75">
        <f t="shared" si="6"/>
        <v>4.851791771125203E-2</v>
      </c>
      <c r="D106" s="222">
        <f>SUMIF('PET bot.'!A$87:A$98,'TOT. PLASTIC'!A106,'PET bot.'!D$87:D$98)+SUMIF('Non-PET'!A$132:A$142,'TOT. PLASTIC'!A106,'Non-PET'!D$132:D$142)+SUMIF('Plastic bags'!A$153:A$165,'TOT. PLASTIC'!A106,'Plastic bags'!D$153:D$165)</f>
        <v>26.319999999999997</v>
      </c>
      <c r="E106" s="210">
        <f t="shared" si="7"/>
        <v>5.3202026204827814E-2</v>
      </c>
      <c r="F106" s="81"/>
      <c r="G106" s="81"/>
      <c r="H106" s="81"/>
      <c r="I106"/>
      <c r="J106"/>
      <c r="K106"/>
      <c r="T106" s="76"/>
    </row>
    <row r="107" spans="1:20" x14ac:dyDescent="0.2">
      <c r="A107" s="79" t="s">
        <v>292</v>
      </c>
      <c r="B107" s="14">
        <f>SUMIF('PET bot.'!A$87:A$98,'TOT. PLASTIC'!A107,'PET bot.'!B$87:B$98)+SUMIF('Non-PET'!A$132:A$142,'TOT. PLASTIC'!A107,'Non-PET'!B$132:B$142)+SUMIF('Plastic bags'!A$153:A$165,'TOT. PLASTIC'!A107,'Plastic bags'!B$153:B$165)</f>
        <v>563</v>
      </c>
      <c r="C107" s="75">
        <f t="shared" si="6"/>
        <v>4.1513051172393449E-2</v>
      </c>
      <c r="D107" s="222">
        <f>SUMIF('PET bot.'!A$87:A$98,'TOT. PLASTIC'!A107,'PET bot.'!D$87:D$98)+SUMIF('Non-PET'!A$132:A$142,'TOT. PLASTIC'!A107,'Non-PET'!D$132:D$142)+SUMIF('Plastic bags'!A$153:A$165,'TOT. PLASTIC'!A107,'Plastic bags'!D$153:D$165)</f>
        <v>2.8149999999999999</v>
      </c>
      <c r="E107" s="210">
        <f t="shared" si="7"/>
        <v>5.6901103254783552E-3</v>
      </c>
      <c r="F107" s="81"/>
      <c r="G107" s="81"/>
      <c r="H107" s="81"/>
      <c r="I107"/>
      <c r="J107"/>
      <c r="K107"/>
      <c r="T107" s="313"/>
    </row>
    <row r="108" spans="1:20" x14ac:dyDescent="0.2">
      <c r="A108" s="79" t="s">
        <v>562</v>
      </c>
      <c r="B108" s="14">
        <f>SUMIF('PET bot.'!A$87:A$98,'TOT. PLASTIC'!A108,'PET bot.'!B$87:B$98)+SUMIF('Non-PET'!A$132:A$142,'TOT. PLASTIC'!A108,'Non-PET'!B$132:B$142)+SUMIF('Plastic bags'!A$153:A$165,'TOT. PLASTIC'!A108,'Plastic bags'!B$153:B$165)</f>
        <v>522</v>
      </c>
      <c r="C108" s="75">
        <f t="shared" ref="C108:C121" si="8">B108/$C$1</f>
        <v>3.848989824509659E-2</v>
      </c>
      <c r="D108" s="222">
        <f>SUMIF('PET bot.'!A$87:A$98,'TOT. PLASTIC'!A108,'PET bot.'!D$87:D$98)+SUMIF('Non-PET'!A$132:A$142,'TOT. PLASTIC'!A108,'Non-PET'!D$132:D$142)+SUMIF('Plastic bags'!A$153:A$165,'TOT. PLASTIC'!A108,'Plastic bags'!D$153:D$165)</f>
        <v>1.7729999999999999</v>
      </c>
      <c r="E108" s="210">
        <f t="shared" ref="E108:E121" si="9">D108/$E$1</f>
        <v>3.5838598959407188E-3</v>
      </c>
      <c r="F108" s="81"/>
      <c r="G108" s="81"/>
      <c r="H108" s="81"/>
      <c r="I108"/>
      <c r="J108"/>
      <c r="K108"/>
      <c r="T108" s="76"/>
    </row>
    <row r="109" spans="1:20" x14ac:dyDescent="0.2">
      <c r="A109" s="312" t="s">
        <v>293</v>
      </c>
      <c r="B109" s="14">
        <f>SUMIF('PET bot.'!A$87:A$98,'TOT. PLASTIC'!A109,'PET bot.'!B$87:B$98)+SUMIF('Non-PET'!A$132:A$142,'TOT. PLASTIC'!A109,'Non-PET'!B$132:B$142)+SUMIF('Plastic bags'!A$153:A$165,'TOT. PLASTIC'!A109,'Plastic bags'!B$153:B$165)</f>
        <v>488</v>
      </c>
      <c r="C109" s="75">
        <f>B109/$C$1</f>
        <v>3.5982893378557736E-2</v>
      </c>
      <c r="D109" s="222">
        <f>SUMIF('PET bot.'!A$87:A$98,'TOT. PLASTIC'!A109,'PET bot.'!D$87:D$98)+SUMIF('Non-PET'!A$132:A$142,'TOT. PLASTIC'!A109,'Non-PET'!D$132:D$142)+SUMIF('Plastic bags'!A$153:A$165,'TOT. PLASTIC'!A109,'Plastic bags'!D$153:D$165)</f>
        <v>4.4744999999999999</v>
      </c>
      <c r="E109" s="210">
        <f>D109/$E$1</f>
        <v>9.0445465901786495E-3</v>
      </c>
      <c r="F109" s="81"/>
      <c r="G109" s="81"/>
      <c r="H109" s="81"/>
      <c r="I109"/>
      <c r="J109"/>
      <c r="K109"/>
      <c r="T109" s="76"/>
    </row>
    <row r="110" spans="1:20" x14ac:dyDescent="0.2">
      <c r="A110" s="79" t="s">
        <v>105</v>
      </c>
      <c r="B110" s="14">
        <f>SUMIF('PET bot.'!A$87:A$98,'TOT. PLASTIC'!A110,'PET bot.'!B$87:B$98)+SUMIF('Non-PET'!A$132:A$142,'TOT. PLASTIC'!A110,'Non-PET'!B$132:B$142)+SUMIF('Plastic bags'!A$153:A$165,'TOT. PLASTIC'!A110,'Plastic bags'!B$153:B$165)</f>
        <v>458</v>
      </c>
      <c r="C110" s="75">
        <f>B110/$C$1</f>
        <v>3.3770830261023448E-2</v>
      </c>
      <c r="D110" s="222">
        <f>SUMIF('PET bot.'!A$87:A$98,'TOT. PLASTIC'!A110,'PET bot.'!D$87:D$98)+SUMIF('Non-PET'!A$132:A$142,'TOT. PLASTIC'!A110,'Non-PET'!D$132:D$142)+SUMIF('Plastic bags'!A$153:A$165,'TOT. PLASTIC'!A110,'Plastic bags'!D$153:D$165)</f>
        <v>18.108499999999999</v>
      </c>
      <c r="E110" s="210">
        <f>D110/$E$1</f>
        <v>3.6603681289138469E-2</v>
      </c>
      <c r="F110" s="81"/>
      <c r="G110" s="81"/>
      <c r="H110" s="81"/>
      <c r="I110"/>
      <c r="J110"/>
      <c r="K110"/>
      <c r="T110" s="313"/>
    </row>
    <row r="111" spans="1:20" x14ac:dyDescent="0.2">
      <c r="A111" s="79" t="s">
        <v>385</v>
      </c>
      <c r="B111" s="14">
        <f>SUMIF('PET bot.'!A$87:A$98,'TOT. PLASTIC'!A111,'PET bot.'!B$87:B$98)+SUMIF('Non-PET'!A$132:A$142,'TOT. PLASTIC'!A111,'Non-PET'!B$132:B$142)+SUMIF('Plastic bags'!A$153:A$165,'TOT. PLASTIC'!A111,'Plastic bags'!B$153:B$165)</f>
        <v>268</v>
      </c>
      <c r="C111" s="75">
        <f t="shared" si="8"/>
        <v>1.9761097183306296E-2</v>
      </c>
      <c r="D111" s="222">
        <f>SUMIF('PET bot.'!A$87:A$98,'TOT. PLASTIC'!A111,'PET bot.'!D$87:D$98)+SUMIF('Non-PET'!A$132:A$142,'TOT. PLASTIC'!A111,'Non-PET'!D$132:D$142)+SUMIF('Plastic bags'!A$153:A$165,'TOT. PLASTIC'!A111,'Plastic bags'!D$153:D$165)</f>
        <v>12.087999999999999</v>
      </c>
      <c r="E111" s="210">
        <f t="shared" si="9"/>
        <v>2.4434122065499948E-2</v>
      </c>
      <c r="F111" s="81"/>
      <c r="G111" s="81"/>
      <c r="H111" s="81"/>
      <c r="I111"/>
      <c r="J111"/>
      <c r="K111"/>
      <c r="T111" s="313"/>
    </row>
    <row r="112" spans="1:20" x14ac:dyDescent="0.2">
      <c r="A112" s="79" t="s">
        <v>93</v>
      </c>
      <c r="B112" s="14">
        <f>SUMIF('PET bot.'!A$87:A$98,'TOT. PLASTIC'!A112,'PET bot.'!B$87:B$98)+SUMIF('Non-PET'!A$132:A$142,'TOT. PLASTIC'!A112,'Non-PET'!B$132:B$142)+SUMIF('Plastic bags'!A$153:A$165,'TOT. PLASTIC'!A112,'Plastic bags'!B$153:B$165)</f>
        <v>233</v>
      </c>
      <c r="C112" s="75">
        <f t="shared" si="8"/>
        <v>1.7180356879516294E-2</v>
      </c>
      <c r="D112" s="222">
        <f>SUMIF('PET bot.'!A$87:A$98,'TOT. PLASTIC'!A112,'PET bot.'!D$87:D$98)+SUMIF('Non-PET'!A$132:A$142,'TOT. PLASTIC'!A112,'Non-PET'!D$132:D$142)+SUMIF('Plastic bags'!A$153:A$165,'TOT. PLASTIC'!A112,'Plastic bags'!D$153:D$165)</f>
        <v>9.32</v>
      </c>
      <c r="E112" s="210">
        <f t="shared" si="9"/>
        <v>1.8839015358244501E-2</v>
      </c>
      <c r="F112" s="81"/>
      <c r="G112" s="81"/>
      <c r="H112" s="81"/>
      <c r="I112"/>
      <c r="J112"/>
      <c r="K112"/>
      <c r="T112" s="76"/>
    </row>
    <row r="113" spans="1:20" x14ac:dyDescent="0.2">
      <c r="A113" s="79" t="s">
        <v>656</v>
      </c>
      <c r="B113" s="14">
        <f>SUMIF('PET bot.'!A$87:A$98,'TOT. PLASTIC'!A113,'PET bot.'!B$87:B$98)+SUMIF('Non-PET'!A$132:A$142,'TOT. PLASTIC'!A113,'Non-PET'!B$132:B$142)+SUMIF('Plastic bags'!A$153:A$165,'TOT. PLASTIC'!A113,'Plastic bags'!B$153:B$165)</f>
        <v>221</v>
      </c>
      <c r="C113" s="75">
        <f t="shared" ref="C113:C120" si="10">B113/$C$1</f>
        <v>1.629553163250258E-2</v>
      </c>
      <c r="D113" s="222">
        <f>SUMIF('PET bot.'!A$87:A$98,'TOT. PLASTIC'!A113,'PET bot.'!D$87:D$98)+SUMIF('Non-PET'!A$132:A$142,'TOT. PLASTIC'!A113,'Non-PET'!D$132:D$142)+SUMIF('Plastic bags'!A$153:A$165,'TOT. PLASTIC'!A113,'Plastic bags'!D$153:D$165)</f>
        <v>8.1025000000000009</v>
      </c>
      <c r="E113" s="210">
        <f t="shared" ref="E113:E120" si="11">D113/$E$1</f>
        <v>1.6378017375555373E-2</v>
      </c>
      <c r="F113" s="81"/>
      <c r="G113" s="81"/>
      <c r="H113" s="81"/>
      <c r="I113"/>
      <c r="J113"/>
      <c r="K113"/>
      <c r="T113" s="76"/>
    </row>
    <row r="114" spans="1:20" x14ac:dyDescent="0.2">
      <c r="A114" s="79" t="s">
        <v>127</v>
      </c>
      <c r="B114" s="14">
        <f>SUMIF('PET bot.'!A$87:A$98,'TOT. PLASTIC'!A114,'PET bot.'!B$87:B$98)+SUMIF('Non-PET'!A$132:A$142,'TOT. PLASTIC'!A114,'Non-PET'!B$132:B$142)+SUMIF('Plastic bags'!A$153:A$165,'TOT. PLASTIC'!A114,'Plastic bags'!B$153:B$165)</f>
        <v>153</v>
      </c>
      <c r="C114" s="75">
        <f t="shared" si="10"/>
        <v>1.1281521899424864E-2</v>
      </c>
      <c r="D114" s="222">
        <f>SUMIF('PET bot.'!A$87:A$98,'TOT. PLASTIC'!A114,'PET bot.'!D$87:D$98)+SUMIF('Non-PET'!A$132:A$142,'TOT. PLASTIC'!A114,'Non-PET'!D$132:D$142)+SUMIF('Plastic bags'!A$153:A$165,'TOT. PLASTIC'!A114,'Plastic bags'!D$153:D$165)</f>
        <v>7.3594999999999997</v>
      </c>
      <c r="E114" s="210">
        <f t="shared" si="11"/>
        <v>1.4876151666201759E-2</v>
      </c>
      <c r="F114" s="81"/>
      <c r="G114" s="81"/>
      <c r="H114" s="81"/>
      <c r="I114"/>
      <c r="J114"/>
      <c r="K114"/>
      <c r="T114" s="76"/>
    </row>
    <row r="115" spans="1:20" x14ac:dyDescent="0.2">
      <c r="A115" s="79" t="s">
        <v>641</v>
      </c>
      <c r="B115" s="14">
        <f>SUMIF('PET bot.'!A$87:A$98,'TOT. PLASTIC'!A115,'PET bot.'!B$87:B$98)+SUMIF('Non-PET'!A$132:A$142,'TOT. PLASTIC'!A115,'Non-PET'!B$132:B$142)+SUMIF('Plastic bags'!A$153:A$165,'TOT. PLASTIC'!A115,'Plastic bags'!B$153:B$165)</f>
        <v>125</v>
      </c>
      <c r="C115" s="75">
        <f t="shared" si="10"/>
        <v>9.2169296563928624E-3</v>
      </c>
      <c r="D115" s="222">
        <f>SUMIF('PET bot.'!A$87:A$98,'TOT. PLASTIC'!A115,'PET bot.'!D$87:D$98)+SUMIF('Non-PET'!A$132:A$142,'TOT. PLASTIC'!A115,'Non-PET'!D$132:D$142)+SUMIF('Plastic bags'!A$153:A$165,'TOT. PLASTIC'!A115,'Plastic bags'!D$153:D$165)</f>
        <v>12.708499999999997</v>
      </c>
      <c r="E115" s="210">
        <f t="shared" si="11"/>
        <v>2.5688371961400235E-2</v>
      </c>
      <c r="F115" s="81"/>
      <c r="G115" s="81"/>
      <c r="H115" s="81"/>
      <c r="I115"/>
      <c r="J115"/>
      <c r="K115"/>
      <c r="T115" s="76"/>
    </row>
    <row r="116" spans="1:20" x14ac:dyDescent="0.2">
      <c r="A116" s="79" t="s">
        <v>230</v>
      </c>
      <c r="B116" s="14">
        <f>SUMIF('PET bot.'!A$87:A$98,'TOT. PLASTIC'!A116,'PET bot.'!B$87:B$98)+SUMIF('Non-PET'!A$132:A$142,'TOT. PLASTIC'!A116,'Non-PET'!B$132:B$142)+SUMIF('Plastic bags'!A$153:A$165,'TOT. PLASTIC'!A116,'Plastic bags'!B$153:B$165)</f>
        <v>113</v>
      </c>
      <c r="C116" s="75">
        <f t="shared" si="10"/>
        <v>8.3321044093791468E-3</v>
      </c>
      <c r="D116" s="222">
        <f>SUMIF('PET bot.'!A$87:A$98,'TOT. PLASTIC'!A116,'PET bot.'!D$87:D$98)+SUMIF('Non-PET'!A$132:A$142,'TOT. PLASTIC'!A116,'Non-PET'!D$132:D$142)+SUMIF('Plastic bags'!A$153:A$165,'TOT. PLASTIC'!A116,'Plastic bags'!D$153:D$165)</f>
        <v>5.2730000000000006</v>
      </c>
      <c r="E116" s="210">
        <f t="shared" si="11"/>
        <v>1.0658597423178462E-2</v>
      </c>
      <c r="F116" s="81"/>
      <c r="G116" s="81"/>
      <c r="H116" s="81"/>
      <c r="I116"/>
      <c r="J116"/>
      <c r="K116"/>
      <c r="T116" s="76"/>
    </row>
    <row r="117" spans="1:20" x14ac:dyDescent="0.2">
      <c r="A117" s="79" t="s">
        <v>688</v>
      </c>
      <c r="B117" s="14">
        <f>SUMIF('PET bot.'!A$87:A$98,'TOT. PLASTIC'!A117,'PET bot.'!B$87:B$98)+SUMIF('Non-PET'!A$132:A$142,'TOT. PLASTIC'!A117,'Non-PET'!B$132:B$142)+SUMIF('Plastic bags'!A$153:A$165,'TOT. PLASTIC'!A117,'Plastic bags'!B$153:B$165)</f>
        <v>110</v>
      </c>
      <c r="C117" s="75">
        <f t="shared" si="10"/>
        <v>8.1108980976257183E-3</v>
      </c>
      <c r="D117" s="222">
        <f>SUMIF('PET bot.'!A$87:A$98,'TOT. PLASTIC'!A117,'PET bot.'!D$87:D$98)+SUMIF('Non-PET'!A$132:A$142,'TOT. PLASTIC'!A117,'Non-PET'!D$132:D$142)+SUMIF('Plastic bags'!A$153:A$165,'TOT. PLASTIC'!A117,'Plastic bags'!D$153:D$165)</f>
        <v>8.8000000000000007</v>
      </c>
      <c r="E117" s="210">
        <f t="shared" si="11"/>
        <v>1.7787911497054894E-2</v>
      </c>
      <c r="F117" s="81"/>
      <c r="G117" s="81"/>
      <c r="H117" s="81"/>
      <c r="I117"/>
      <c r="J117"/>
      <c r="K117"/>
      <c r="T117" s="76"/>
    </row>
    <row r="118" spans="1:20" x14ac:dyDescent="0.2">
      <c r="A118" s="79" t="s">
        <v>291</v>
      </c>
      <c r="B118" s="14">
        <f>SUMIF('PET bot.'!A$87:A$98,'TOT. PLASTIC'!A118,'PET bot.'!B$87:B$98)+SUMIF('Non-PET'!A$132:A$142,'TOT. PLASTIC'!A118,'Non-PET'!B$132:B$142)+SUMIF('Plastic bags'!A$153:A$165,'TOT. PLASTIC'!A118,'Plastic bags'!B$153:B$165)</f>
        <v>62</v>
      </c>
      <c r="C118" s="75">
        <f t="shared" si="10"/>
        <v>4.5715971095708595E-3</v>
      </c>
      <c r="D118" s="222">
        <f>SUMIF('PET bot.'!A$87:A$98,'TOT. PLASTIC'!A118,'PET bot.'!D$87:D$98)+SUMIF('Non-PET'!A$132:A$142,'TOT. PLASTIC'!A118,'Non-PET'!D$132:D$142)+SUMIF('Plastic bags'!A$153:A$165,'TOT. PLASTIC'!A118,'Plastic bags'!D$153:D$165)</f>
        <v>3.46</v>
      </c>
      <c r="E118" s="210">
        <f t="shared" si="11"/>
        <v>6.9938833840693104E-3</v>
      </c>
      <c r="F118" s="81"/>
      <c r="G118" s="81"/>
      <c r="H118" s="81"/>
      <c r="I118"/>
      <c r="J118"/>
      <c r="K118"/>
      <c r="T118" s="76"/>
    </row>
    <row r="119" spans="1:20" x14ac:dyDescent="0.2">
      <c r="A119" s="79" t="s">
        <v>238</v>
      </c>
      <c r="B119" s="14">
        <f>SUMIF('PET bot.'!A$87:A$98,'TOT. PLASTIC'!A119,'PET bot.'!B$87:B$98)+SUMIF('Non-PET'!A$132:A$142,'TOT. PLASTIC'!A119,'Non-PET'!B$132:B$142)+SUMIF('Plastic bags'!A$153:A$165,'TOT. PLASTIC'!A119,'Plastic bags'!B$153:B$165)</f>
        <v>48</v>
      </c>
      <c r="C119" s="75">
        <f t="shared" si="10"/>
        <v>3.5393009880548593E-3</v>
      </c>
      <c r="D119" s="222">
        <f>SUMIF('PET bot.'!A$87:A$98,'TOT. PLASTIC'!A119,'PET bot.'!D$87:D$98)+SUMIF('Non-PET'!A$132:A$142,'TOT. PLASTIC'!A119,'Non-PET'!D$132:D$142)+SUMIF('Plastic bags'!A$153:A$165,'TOT. PLASTIC'!A119,'Plastic bags'!D$153:D$165)</f>
        <v>1.44</v>
      </c>
      <c r="E119" s="210">
        <f t="shared" si="11"/>
        <v>2.9107491540635278E-3</v>
      </c>
      <c r="F119" s="81"/>
      <c r="G119" s="81"/>
      <c r="H119" s="81"/>
      <c r="I119"/>
      <c r="J119"/>
      <c r="K119"/>
      <c r="T119" s="76"/>
    </row>
    <row r="120" spans="1:20" x14ac:dyDescent="0.2">
      <c r="A120" s="79" t="s">
        <v>687</v>
      </c>
      <c r="B120" s="14">
        <f>SUMIF('PET bot.'!A$87:A$98,'TOT. PLASTIC'!A120,'PET bot.'!B$87:B$98)+SUMIF('Non-PET'!A$132:A$142,'TOT. PLASTIC'!A120,'Non-PET'!B$132:B$142)+SUMIF('Plastic bags'!A$153:A$165,'TOT. PLASTIC'!A120,'Plastic bags'!B$153:B$165)</f>
        <v>26</v>
      </c>
      <c r="C120" s="75">
        <f t="shared" si="10"/>
        <v>1.9171213685297154E-3</v>
      </c>
      <c r="D120" s="222">
        <f>SUMIF('PET bot.'!A$87:A$98,'TOT. PLASTIC'!A120,'PET bot.'!D$87:D$98)+SUMIF('Non-PET'!A$132:A$142,'TOT. PLASTIC'!A120,'Non-PET'!D$132:D$142)+SUMIF('Plastic bags'!A$153:A$165,'TOT. PLASTIC'!A120,'Plastic bags'!D$153:D$165)</f>
        <v>1.04</v>
      </c>
      <c r="E120" s="210">
        <f t="shared" si="11"/>
        <v>2.1022077223792146E-3</v>
      </c>
      <c r="F120" s="81"/>
      <c r="G120" s="81"/>
      <c r="H120" s="81"/>
      <c r="I120"/>
      <c r="J120"/>
      <c r="K120"/>
      <c r="T120" s="76"/>
    </row>
    <row r="121" spans="1:20" ht="17" thickBot="1" x14ac:dyDescent="0.25">
      <c r="A121" s="84" t="s">
        <v>193</v>
      </c>
      <c r="B121" s="31">
        <f>SUMIF('PET bot.'!A$87:A$98,'TOT. PLASTIC'!A121,'PET bot.'!B$87:B$98)+SUMIF('Non-PET'!A$132:A$142,'TOT. PLASTIC'!A121,'Non-PET'!B$132:B$142)+SUMIF('Plastic bags'!A$153:A$165,'TOT. PLASTIC'!A121,'Plastic bags'!B$153:B$165)</f>
        <v>9</v>
      </c>
      <c r="C121" s="85">
        <f t="shared" si="8"/>
        <v>6.6361893526028614E-4</v>
      </c>
      <c r="D121" s="223">
        <f>SUMIF('PET bot.'!A$87:A$98,'TOT. PLASTIC'!A121,'PET bot.'!D$87:D$98)+SUMIF('Non-PET'!A$132:A$142,'TOT. PLASTIC'!A121,'Non-PET'!D$132:D$142)+SUMIF('Plastic bags'!A$153:A$165,'TOT. PLASTIC'!A121,'Plastic bags'!D$153:D$165)</f>
        <v>0.495</v>
      </c>
      <c r="E121" s="212">
        <f t="shared" si="9"/>
        <v>1.0005700217093378E-3</v>
      </c>
      <c r="F121" s="81"/>
      <c r="G121" s="81"/>
      <c r="H121" s="81"/>
      <c r="I121"/>
      <c r="J121"/>
      <c r="K121"/>
      <c r="T121" s="76"/>
    </row>
    <row r="122" spans="1:20" x14ac:dyDescent="0.2">
      <c r="A122" s="82"/>
      <c r="B122" s="262">
        <f>SUM(B101:B121)-C1</f>
        <v>0</v>
      </c>
      <c r="C122" s="78"/>
      <c r="D122" s="226">
        <f>SUM(D101:D121)-E1</f>
        <v>0</v>
      </c>
      <c r="E122" s="78"/>
      <c r="F122" s="81"/>
      <c r="G122" s="81"/>
      <c r="H122" s="81"/>
      <c r="I122"/>
      <c r="J122"/>
      <c r="K122"/>
      <c r="T122" s="76"/>
    </row>
    <row r="123" spans="1:20" x14ac:dyDescent="0.2">
      <c r="A123" s="82"/>
      <c r="B123" s="82"/>
      <c r="C123" s="83"/>
      <c r="D123" s="228"/>
      <c r="E123" s="78"/>
      <c r="F123" s="81"/>
      <c r="G123" s="81"/>
      <c r="H123" s="81"/>
      <c r="I123"/>
      <c r="J123"/>
      <c r="K123"/>
      <c r="T123" s="76"/>
    </row>
    <row r="124" spans="1:20" ht="17" thickBot="1" x14ac:dyDescent="0.25">
      <c r="C124" s="6"/>
      <c r="D124" s="6"/>
      <c r="E124" s="5"/>
      <c r="F124" s="5"/>
      <c r="G124" s="5"/>
      <c r="H124" s="5"/>
      <c r="I124"/>
      <c r="J124"/>
      <c r="K124"/>
      <c r="T124" s="76"/>
    </row>
    <row r="125" spans="1:20" x14ac:dyDescent="0.2">
      <c r="A125" s="413" t="s">
        <v>128</v>
      </c>
      <c r="B125" s="414"/>
      <c r="C125" s="414"/>
      <c r="D125" s="414"/>
      <c r="E125" s="415"/>
      <c r="F125" s="5"/>
      <c r="G125" s="5"/>
      <c r="H125" s="5"/>
      <c r="I125"/>
      <c r="J125"/>
      <c r="K125"/>
      <c r="T125" s="76"/>
    </row>
    <row r="126" spans="1:20" x14ac:dyDescent="0.2">
      <c r="A126" s="213" t="s">
        <v>618</v>
      </c>
      <c r="B126" s="208" t="s">
        <v>614</v>
      </c>
      <c r="C126" s="323"/>
      <c r="D126" s="214" t="s">
        <v>617</v>
      </c>
      <c r="E126" s="215"/>
      <c r="F126" s="81"/>
      <c r="G126" s="81"/>
      <c r="H126" s="81"/>
      <c r="I126"/>
      <c r="J126"/>
      <c r="K126"/>
      <c r="T126" s="76"/>
    </row>
    <row r="127" spans="1:20" x14ac:dyDescent="0.2">
      <c r="A127" s="79" t="s">
        <v>6</v>
      </c>
      <c r="B127" s="14">
        <f>'PET bot.'!B106+'Non-PET'!B153+'Plastic bags'!B173</f>
        <v>6984</v>
      </c>
      <c r="C127" s="75">
        <f>B127/$C$1</f>
        <v>0.51496829376198205</v>
      </c>
      <c r="D127" s="222">
        <f>'PET bot.'!D106+'Non-PET'!D153+'Plastic bags'!D173</f>
        <v>278.83949999999999</v>
      </c>
      <c r="E127" s="210">
        <f>D127/E$1</f>
        <v>0.56363322135034521</v>
      </c>
      <c r="F127" s="81"/>
      <c r="G127" s="81"/>
      <c r="H127" s="81"/>
      <c r="I127"/>
      <c r="J127"/>
      <c r="K127"/>
      <c r="T127" s="76"/>
    </row>
    <row r="128" spans="1:20" x14ac:dyDescent="0.2">
      <c r="A128" s="308" t="s">
        <v>7</v>
      </c>
      <c r="B128" s="51">
        <f>'PET bot.'!B107+'Non-PET'!B154+'Plastic bags'!B174</f>
        <v>3115</v>
      </c>
      <c r="C128" s="75">
        <f>B128/$C$1</f>
        <v>0.22968588703731013</v>
      </c>
      <c r="D128" s="309">
        <f>'PET bot.'!D107+'Non-PET'!D154+'Plastic bags'!D174</f>
        <v>110.48849999999999</v>
      </c>
      <c r="E128" s="210">
        <f>D128/E$1</f>
        <v>0.22333632493663061</v>
      </c>
      <c r="F128" s="81"/>
      <c r="G128" s="81"/>
      <c r="H128" s="81"/>
      <c r="I128"/>
      <c r="J128"/>
      <c r="K128"/>
      <c r="T128" s="76"/>
    </row>
    <row r="129" spans="1:20" ht="17" thickBot="1" x14ac:dyDescent="0.25">
      <c r="A129" s="84" t="s">
        <v>684</v>
      </c>
      <c r="B129" s="31">
        <f>'Plastic bags'!B175+'Non-PET'!B155</f>
        <v>3463</v>
      </c>
      <c r="C129" s="85">
        <f>B129/$C$1</f>
        <v>0.25534581920070787</v>
      </c>
      <c r="D129" s="31">
        <f>'Plastic bags'!D175+'Non-PET'!D155</f>
        <v>105.38999999999999</v>
      </c>
      <c r="E129" s="212">
        <f>D129/E$1</f>
        <v>0.21303045371302443</v>
      </c>
      <c r="F129" s="81"/>
      <c r="G129" s="81"/>
      <c r="H129" s="81"/>
      <c r="I129"/>
      <c r="J129"/>
      <c r="K129"/>
      <c r="T129" s="76"/>
    </row>
    <row r="130" spans="1:20" x14ac:dyDescent="0.2">
      <c r="A130" s="76"/>
      <c r="B130" s="262">
        <f>SUM(B127:B129)-$C$1</f>
        <v>0</v>
      </c>
      <c r="C130" s="82"/>
      <c r="D130" s="226">
        <f>SUM(D127:D129)-E1</f>
        <v>0</v>
      </c>
      <c r="E130" s="81"/>
      <c r="F130" s="81"/>
      <c r="G130" s="81"/>
      <c r="H130" s="81"/>
      <c r="I130"/>
      <c r="J130"/>
      <c r="K130"/>
      <c r="T130" s="76"/>
    </row>
    <row r="131" spans="1:20" x14ac:dyDescent="0.2">
      <c r="A131" s="82"/>
      <c r="B131" s="82"/>
      <c r="C131" s="80"/>
      <c r="D131" s="80"/>
      <c r="E131" s="81"/>
      <c r="F131" s="81"/>
      <c r="G131" s="81"/>
      <c r="H131" s="81"/>
      <c r="I131"/>
      <c r="J131"/>
      <c r="K131"/>
      <c r="T131" s="76"/>
    </row>
    <row r="132" spans="1:20" x14ac:dyDescent="0.2">
      <c r="A132" s="82"/>
      <c r="B132" s="82"/>
      <c r="C132" s="80"/>
      <c r="D132" s="80"/>
      <c r="E132" s="81"/>
      <c r="F132" s="81"/>
      <c r="G132" s="81"/>
      <c r="H132" s="81"/>
      <c r="I132"/>
      <c r="J132"/>
      <c r="K132"/>
      <c r="T132" s="76"/>
    </row>
    <row r="133" spans="1:20" x14ac:dyDescent="0.2">
      <c r="A133" s="82"/>
      <c r="B133" s="82"/>
      <c r="C133" s="80" t="s">
        <v>129</v>
      </c>
      <c r="D133" s="80"/>
      <c r="E133" s="81"/>
      <c r="F133" s="81"/>
      <c r="G133" s="81"/>
      <c r="H133" s="81"/>
      <c r="I133"/>
      <c r="J133"/>
      <c r="K133"/>
      <c r="T133" s="76"/>
    </row>
    <row r="134" spans="1:20" x14ac:dyDescent="0.2">
      <c r="A134" s="82"/>
      <c r="B134" s="82"/>
      <c r="C134" s="80"/>
      <c r="D134" s="80"/>
      <c r="E134" s="81"/>
      <c r="F134" s="81"/>
      <c r="G134" s="81"/>
      <c r="H134" s="81"/>
      <c r="I134"/>
      <c r="J134"/>
      <c r="K134"/>
      <c r="T134" s="76"/>
    </row>
    <row r="135" spans="1:20" x14ac:dyDescent="0.2">
      <c r="A135" s="82"/>
      <c r="B135" s="82"/>
      <c r="C135" s="80"/>
      <c r="D135" s="80"/>
      <c r="E135" s="81"/>
      <c r="F135" s="81"/>
      <c r="G135" s="81"/>
      <c r="H135" s="81"/>
      <c r="I135"/>
      <c r="J135"/>
      <c r="K135"/>
      <c r="T135" s="315"/>
    </row>
    <row r="136" spans="1:20" x14ac:dyDescent="0.2">
      <c r="A136" s="82"/>
      <c r="B136" s="82"/>
      <c r="C136" s="80"/>
      <c r="D136" s="80"/>
      <c r="E136" s="81"/>
      <c r="F136" s="81"/>
      <c r="G136" s="81"/>
      <c r="H136" s="81"/>
      <c r="I136"/>
      <c r="J136"/>
      <c r="K136"/>
      <c r="T136" s="315"/>
    </row>
    <row r="137" spans="1:20" x14ac:dyDescent="0.2">
      <c r="A137" s="82"/>
      <c r="B137" s="82"/>
      <c r="C137" s="80"/>
      <c r="D137" s="80"/>
      <c r="E137" s="81"/>
      <c r="F137" s="81"/>
      <c r="G137" s="81"/>
      <c r="H137" s="81"/>
      <c r="I137"/>
      <c r="J137"/>
      <c r="K137"/>
      <c r="T137" s="315"/>
    </row>
    <row r="138" spans="1:20" x14ac:dyDescent="0.2">
      <c r="A138" s="82"/>
      <c r="B138" s="82"/>
      <c r="C138" s="80"/>
      <c r="D138" s="80"/>
      <c r="E138" s="81"/>
      <c r="F138" s="81"/>
      <c r="G138" s="81"/>
      <c r="H138" s="81"/>
      <c r="I138"/>
      <c r="J138"/>
      <c r="K138"/>
      <c r="T138" s="316"/>
    </row>
    <row r="139" spans="1:20" x14ac:dyDescent="0.2">
      <c r="A139" s="82"/>
      <c r="B139" s="82"/>
      <c r="C139" s="80"/>
      <c r="D139" s="80"/>
      <c r="E139" s="81"/>
      <c r="F139" s="81"/>
      <c r="G139" s="81"/>
      <c r="H139" s="81"/>
      <c r="I139"/>
      <c r="J139"/>
      <c r="K139"/>
      <c r="T139" s="316"/>
    </row>
    <row r="140" spans="1:20" x14ac:dyDescent="0.2">
      <c r="A140" s="82"/>
      <c r="B140" s="82"/>
      <c r="C140" s="80"/>
      <c r="D140" s="80"/>
      <c r="E140" s="81"/>
      <c r="F140" s="81"/>
      <c r="G140" s="81"/>
      <c r="H140" s="81"/>
      <c r="I140"/>
      <c r="J140"/>
      <c r="K140"/>
      <c r="T140" s="316"/>
    </row>
    <row r="141" spans="1:20" x14ac:dyDescent="0.2">
      <c r="A141" s="82"/>
      <c r="B141" s="82"/>
      <c r="C141" s="80"/>
      <c r="D141" s="80"/>
      <c r="E141" s="81"/>
      <c r="F141" s="81"/>
      <c r="G141" s="81"/>
      <c r="H141" s="81"/>
      <c r="I141"/>
      <c r="J141"/>
      <c r="K141"/>
      <c r="T141" s="317"/>
    </row>
    <row r="142" spans="1:20" x14ac:dyDescent="0.2">
      <c r="C142" s="6"/>
      <c r="D142" s="6"/>
      <c r="E142" s="5"/>
      <c r="F142" s="5"/>
      <c r="G142" s="5"/>
      <c r="H142" s="5"/>
      <c r="I142"/>
      <c r="J142"/>
      <c r="K142"/>
      <c r="T142" s="317"/>
    </row>
    <row r="143" spans="1:20" x14ac:dyDescent="0.2">
      <c r="C143" s="6"/>
      <c r="D143" s="6"/>
      <c r="E143" s="5"/>
      <c r="F143" s="5"/>
      <c r="G143" s="5"/>
      <c r="H143" s="5"/>
      <c r="I143"/>
      <c r="J143"/>
      <c r="K143"/>
      <c r="T143" s="317"/>
    </row>
    <row r="144" spans="1:20" x14ac:dyDescent="0.2">
      <c r="C144" s="6"/>
      <c r="D144" s="6"/>
      <c r="E144" s="5"/>
      <c r="F144" s="5"/>
      <c r="G144" s="5"/>
      <c r="H144" s="5"/>
      <c r="I144"/>
      <c r="J144"/>
      <c r="K144"/>
      <c r="T144" s="317"/>
    </row>
    <row r="145" spans="1:20" ht="17" thickBot="1" x14ac:dyDescent="0.25">
      <c r="C145" s="6"/>
      <c r="D145" s="6"/>
      <c r="E145" s="5"/>
      <c r="F145" s="5"/>
      <c r="G145" s="5"/>
      <c r="H145" s="5"/>
      <c r="I145"/>
      <c r="J145"/>
      <c r="K145"/>
      <c r="T145" s="317"/>
    </row>
    <row r="146" spans="1:20" x14ac:dyDescent="0.2">
      <c r="A146" s="413" t="s">
        <v>619</v>
      </c>
      <c r="B146" s="414"/>
      <c r="C146" s="414"/>
      <c r="D146" s="414"/>
      <c r="E146" s="415"/>
      <c r="F146" s="81"/>
      <c r="G146" s="81"/>
      <c r="H146" s="81"/>
      <c r="I146"/>
      <c r="J146"/>
      <c r="K146"/>
      <c r="T146" s="317"/>
    </row>
    <row r="147" spans="1:20" x14ac:dyDescent="0.2">
      <c r="A147" s="213" t="s">
        <v>622</v>
      </c>
      <c r="B147" s="208" t="s">
        <v>614</v>
      </c>
      <c r="C147" s="288"/>
      <c r="D147" s="214" t="s">
        <v>617</v>
      </c>
      <c r="E147" s="215"/>
      <c r="F147" s="81"/>
      <c r="G147" s="81"/>
      <c r="H147" s="81"/>
      <c r="I147"/>
      <c r="J147"/>
      <c r="K147"/>
      <c r="T147" s="317"/>
    </row>
    <row r="148" spans="1:20" x14ac:dyDescent="0.2">
      <c r="A148" s="79" t="str">
        <f>'Glass bot.'!A148</f>
        <v>Downcycling</v>
      </c>
      <c r="B148" s="234">
        <f>'PET bot.'!B125+'Non-PET'!B175+'Plastic bags'!B195</f>
        <v>12928</v>
      </c>
      <c r="C148" s="75">
        <f>B148/$C$1</f>
        <v>0.95325173278277542</v>
      </c>
      <c r="D148" s="222">
        <f>'PET bot.'!D125+'Non-PET'!D175+'Plastic bags'!D195</f>
        <v>467.61349999999982</v>
      </c>
      <c r="E148" s="210">
        <f>D148/E1</f>
        <v>0.94521222191228127</v>
      </c>
      <c r="F148" s="81"/>
      <c r="G148" s="81"/>
      <c r="H148" s="81"/>
      <c r="I148"/>
      <c r="J148"/>
      <c r="K148"/>
      <c r="T148" s="314"/>
    </row>
    <row r="149" spans="1:20" ht="17" thickBot="1" x14ac:dyDescent="0.25">
      <c r="A149" s="84" t="s">
        <v>441</v>
      </c>
      <c r="B149" s="241">
        <f>'Non-PET'!B176+'Plastic bags'!B196</f>
        <v>634</v>
      </c>
      <c r="C149" s="85">
        <f>B149/$C$1</f>
        <v>4.6748267217224596E-2</v>
      </c>
      <c r="D149" s="223">
        <f>'Non-PET'!D176+'Plastic bags'!D196</f>
        <v>27.104500000000002</v>
      </c>
      <c r="E149" s="212">
        <f>D149/E1</f>
        <v>5.4787778087718682E-2</v>
      </c>
      <c r="F149" s="81"/>
      <c r="G149" s="81"/>
      <c r="H149" s="81"/>
      <c r="I149"/>
      <c r="J149"/>
      <c r="K149"/>
      <c r="T149" s="314"/>
    </row>
    <row r="150" spans="1:20" x14ac:dyDescent="0.2">
      <c r="A150" s="82"/>
      <c r="B150" s="262">
        <f>B148+B149-$C$1</f>
        <v>0</v>
      </c>
      <c r="C150" s="82"/>
      <c r="D150" s="226">
        <f>SUM(D148:D149)-E1</f>
        <v>0</v>
      </c>
      <c r="E150" s="81"/>
      <c r="F150" s="81"/>
      <c r="G150" s="81"/>
      <c r="H150" s="81"/>
      <c r="I150"/>
      <c r="J150"/>
      <c r="K150"/>
      <c r="T150" s="314"/>
    </row>
    <row r="151" spans="1:20" x14ac:dyDescent="0.2">
      <c r="A151" s="82"/>
      <c r="B151" s="82"/>
      <c r="C151" s="80"/>
      <c r="D151" s="80"/>
      <c r="E151" s="81"/>
      <c r="F151" s="81"/>
      <c r="G151" s="81"/>
      <c r="H151" s="81"/>
      <c r="I151"/>
      <c r="J151"/>
      <c r="K151"/>
      <c r="T151" s="314"/>
    </row>
    <row r="152" spans="1:20" x14ac:dyDescent="0.2">
      <c r="A152" s="82"/>
      <c r="E152" s="81"/>
      <c r="F152" s="81"/>
      <c r="G152" s="81"/>
      <c r="H152" s="81"/>
      <c r="I152"/>
      <c r="J152"/>
      <c r="K152"/>
      <c r="T152" s="314"/>
    </row>
    <row r="153" spans="1:20" x14ac:dyDescent="0.2">
      <c r="A153" s="82"/>
      <c r="B153" s="82"/>
      <c r="C153" s="80"/>
      <c r="D153" s="80"/>
      <c r="E153" s="81"/>
      <c r="F153" s="81"/>
      <c r="G153" s="81"/>
      <c r="H153" s="81"/>
      <c r="I153"/>
      <c r="J153"/>
      <c r="K153"/>
      <c r="T153" s="314"/>
    </row>
    <row r="154" spans="1:20" x14ac:dyDescent="0.2">
      <c r="A154" s="82"/>
      <c r="B154" s="82"/>
      <c r="C154" s="80"/>
      <c r="D154" s="80"/>
      <c r="E154" s="81"/>
      <c r="F154" s="81"/>
      <c r="G154" s="81"/>
      <c r="H154" s="81"/>
      <c r="I154"/>
      <c r="J154"/>
      <c r="K154"/>
    </row>
    <row r="155" spans="1:20" x14ac:dyDescent="0.2">
      <c r="A155" s="82"/>
      <c r="B155" s="82"/>
      <c r="C155" s="80"/>
      <c r="D155" s="80"/>
      <c r="E155" s="81"/>
      <c r="F155" s="81"/>
      <c r="G155" s="81"/>
      <c r="H155" s="81"/>
      <c r="I155"/>
      <c r="J155"/>
      <c r="K155"/>
    </row>
    <row r="156" spans="1:20" x14ac:dyDescent="0.2">
      <c r="A156" s="82"/>
      <c r="B156" s="82"/>
      <c r="C156" s="80"/>
      <c r="D156" s="80"/>
      <c r="E156" s="81"/>
      <c r="F156" s="81"/>
      <c r="G156" s="81"/>
      <c r="H156" s="81"/>
      <c r="I156"/>
      <c r="J156"/>
      <c r="K156"/>
    </row>
    <row r="157" spans="1:20" x14ac:dyDescent="0.2">
      <c r="A157" s="82"/>
      <c r="B157" s="82"/>
      <c r="C157" s="80"/>
      <c r="D157" s="80"/>
      <c r="E157" s="81"/>
      <c r="F157" s="81"/>
      <c r="G157" s="81"/>
      <c r="H157" s="81"/>
      <c r="I157"/>
      <c r="J157"/>
      <c r="K157"/>
    </row>
    <row r="158" spans="1:20" x14ac:dyDescent="0.2">
      <c r="A158" s="82"/>
      <c r="B158" s="82"/>
      <c r="C158" s="80"/>
      <c r="D158" s="80"/>
      <c r="E158" s="81"/>
      <c r="F158" s="81"/>
      <c r="G158" s="81"/>
      <c r="H158" s="81"/>
      <c r="I158"/>
      <c r="J158"/>
      <c r="K158"/>
    </row>
    <row r="159" spans="1:20" x14ac:dyDescent="0.2">
      <c r="A159" s="82"/>
      <c r="B159" s="82"/>
      <c r="C159" s="80"/>
      <c r="D159" s="80"/>
      <c r="E159" s="81"/>
      <c r="F159" s="81"/>
      <c r="G159" s="81"/>
      <c r="H159" s="81"/>
      <c r="I159"/>
      <c r="J159"/>
      <c r="K159"/>
    </row>
    <row r="160" spans="1:20" x14ac:dyDescent="0.2">
      <c r="A160" s="82"/>
      <c r="B160" s="82"/>
      <c r="C160" s="80"/>
      <c r="D160" s="80"/>
      <c r="E160" s="81"/>
      <c r="F160" s="81"/>
      <c r="G160" s="81"/>
      <c r="H160" s="81"/>
      <c r="I160"/>
      <c r="J160"/>
      <c r="K160"/>
    </row>
  </sheetData>
  <mergeCells count="8">
    <mergeCell ref="A146:E146"/>
    <mergeCell ref="A77:E77"/>
    <mergeCell ref="A55:E55"/>
    <mergeCell ref="C1:D1"/>
    <mergeCell ref="A5:E5"/>
    <mergeCell ref="A33:E33"/>
    <mergeCell ref="A99:E99"/>
    <mergeCell ref="A125:E12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9F74-FFE5-D649-A5DC-EAC94DD4EA18}">
  <sheetPr>
    <tabColor theme="7"/>
  </sheetPr>
  <dimension ref="A1:K107"/>
  <sheetViews>
    <sheetView zoomScaleNormal="100" workbookViewId="0"/>
  </sheetViews>
  <sheetFormatPr baseColWidth="10" defaultColWidth="10.6640625" defaultRowHeight="16" x14ac:dyDescent="0.2"/>
  <cols>
    <col min="1" max="1" width="26.33203125" customWidth="1"/>
    <col min="2" max="2" width="33.1640625" customWidth="1"/>
    <col min="3" max="4" width="7" style="2" customWidth="1"/>
    <col min="5" max="5" width="15.1640625" customWidth="1"/>
    <col min="6" max="6" width="11.83203125" customWidth="1"/>
    <col min="7" max="7" width="12" customWidth="1"/>
    <col min="8" max="8" width="18.83203125" customWidth="1"/>
    <col min="9" max="10" width="11.6640625" customWidth="1"/>
  </cols>
  <sheetData>
    <row r="1" spans="1:11" s="4" customFormat="1" ht="34" x14ac:dyDescent="0.4">
      <c r="A1" s="3" t="s">
        <v>14</v>
      </c>
      <c r="C1" s="420">
        <f>SUM(C4:C26)</f>
        <v>1476</v>
      </c>
      <c r="D1" s="420"/>
      <c r="E1" s="108">
        <f>0.015*C1</f>
        <v>22.14</v>
      </c>
      <c r="F1" s="107" t="s">
        <v>236</v>
      </c>
      <c r="I1" s="155">
        <f>E1-SUM(I4:I26)</f>
        <v>0</v>
      </c>
    </row>
    <row r="2" spans="1:11" ht="17" thickBot="1" x14ac:dyDescent="0.25">
      <c r="D2" s="7"/>
    </row>
    <row r="3" spans="1:11" s="1" customFormat="1" ht="34" customHeight="1" thickBot="1" x14ac:dyDescent="0.25">
      <c r="A3" s="71" t="s">
        <v>20</v>
      </c>
      <c r="B3" s="72" t="s">
        <v>2</v>
      </c>
      <c r="C3" s="419" t="s">
        <v>3</v>
      </c>
      <c r="D3" s="419"/>
      <c r="E3" s="72" t="s">
        <v>1</v>
      </c>
      <c r="F3" s="72" t="s">
        <v>186</v>
      </c>
      <c r="G3" s="72" t="s">
        <v>5</v>
      </c>
      <c r="H3" s="137" t="s">
        <v>16</v>
      </c>
      <c r="I3" s="275" t="s">
        <v>367</v>
      </c>
      <c r="J3" s="60" t="s">
        <v>708</v>
      </c>
      <c r="K3" s="5"/>
    </row>
    <row r="4" spans="1:11" x14ac:dyDescent="0.2">
      <c r="A4" s="22" t="s">
        <v>8</v>
      </c>
      <c r="B4" s="23" t="s">
        <v>9</v>
      </c>
      <c r="C4" s="24">
        <v>461</v>
      </c>
      <c r="D4" s="25">
        <f t="shared" ref="D4:D26" si="0">C4/$C$1</f>
        <v>0.31233062330623307</v>
      </c>
      <c r="E4" s="26" t="s">
        <v>4</v>
      </c>
      <c r="F4" s="26" t="s">
        <v>731</v>
      </c>
      <c r="G4" s="26" t="s">
        <v>6</v>
      </c>
      <c r="H4" s="186" t="s">
        <v>459</v>
      </c>
      <c r="I4" s="253">
        <f>C4/1000*$J$4</f>
        <v>6.915</v>
      </c>
      <c r="J4" s="424">
        <v>15</v>
      </c>
    </row>
    <row r="5" spans="1:11" x14ac:dyDescent="0.2">
      <c r="A5" s="28" t="s">
        <v>8</v>
      </c>
      <c r="B5" s="14" t="s">
        <v>138</v>
      </c>
      <c r="C5" s="15">
        <v>188</v>
      </c>
      <c r="D5" s="20">
        <f t="shared" si="0"/>
        <v>0.12737127371273713</v>
      </c>
      <c r="E5" s="16" t="s">
        <v>4</v>
      </c>
      <c r="F5" s="16" t="s">
        <v>731</v>
      </c>
      <c r="G5" s="16" t="s">
        <v>6</v>
      </c>
      <c r="H5" s="89" t="s">
        <v>459</v>
      </c>
      <c r="I5" s="254">
        <f t="shared" ref="I5:I26" si="1">C5/1000*$J$4</f>
        <v>2.82</v>
      </c>
      <c r="J5" s="425"/>
    </row>
    <row r="6" spans="1:11" x14ac:dyDescent="0.2">
      <c r="A6" s="28" t="s">
        <v>8</v>
      </c>
      <c r="B6" s="14" t="s">
        <v>139</v>
      </c>
      <c r="C6" s="15">
        <v>427</v>
      </c>
      <c r="D6" s="20">
        <f t="shared" si="0"/>
        <v>0.28929539295392953</v>
      </c>
      <c r="E6" s="16" t="s">
        <v>4</v>
      </c>
      <c r="F6" s="16" t="s">
        <v>731</v>
      </c>
      <c r="G6" s="16" t="s">
        <v>6</v>
      </c>
      <c r="H6" s="89" t="s">
        <v>459</v>
      </c>
      <c r="I6" s="254">
        <f t="shared" si="1"/>
        <v>6.4050000000000002</v>
      </c>
      <c r="J6" s="425"/>
    </row>
    <row r="7" spans="1:11" x14ac:dyDescent="0.2">
      <c r="A7" s="28" t="s">
        <v>8</v>
      </c>
      <c r="B7" s="14" t="s">
        <v>113</v>
      </c>
      <c r="C7" s="15">
        <v>45</v>
      </c>
      <c r="D7" s="20">
        <f t="shared" si="0"/>
        <v>3.048780487804878E-2</v>
      </c>
      <c r="E7" s="16" t="s">
        <v>4</v>
      </c>
      <c r="F7" s="16" t="s">
        <v>731</v>
      </c>
      <c r="G7" s="16" t="s">
        <v>6</v>
      </c>
      <c r="H7" s="89" t="s">
        <v>459</v>
      </c>
      <c r="I7" s="254">
        <f t="shared" si="1"/>
        <v>0.67499999999999993</v>
      </c>
      <c r="J7" s="425"/>
    </row>
    <row r="8" spans="1:11" x14ac:dyDescent="0.2">
      <c r="A8" s="28" t="s">
        <v>8</v>
      </c>
      <c r="B8" s="14" t="s">
        <v>10</v>
      </c>
      <c r="C8" s="15">
        <v>88</v>
      </c>
      <c r="D8" s="20">
        <f t="shared" si="0"/>
        <v>5.9620596205962058E-2</v>
      </c>
      <c r="E8" s="16" t="s">
        <v>4</v>
      </c>
      <c r="F8" s="16" t="s">
        <v>731</v>
      </c>
      <c r="G8" s="16" t="s">
        <v>6</v>
      </c>
      <c r="H8" s="89" t="s">
        <v>459</v>
      </c>
      <c r="I8" s="254">
        <f t="shared" si="1"/>
        <v>1.3199999999999998</v>
      </c>
      <c r="J8" s="425"/>
    </row>
    <row r="9" spans="1:11" x14ac:dyDescent="0.2">
      <c r="A9" s="28" t="s">
        <v>8</v>
      </c>
      <c r="B9" s="14" t="s">
        <v>140</v>
      </c>
      <c r="C9" s="15">
        <v>13</v>
      </c>
      <c r="D9" s="20">
        <f t="shared" si="0"/>
        <v>8.8075880758807581E-3</v>
      </c>
      <c r="E9" s="16" t="s">
        <v>4</v>
      </c>
      <c r="F9" s="16" t="s">
        <v>731</v>
      </c>
      <c r="G9" s="16" t="s">
        <v>6</v>
      </c>
      <c r="H9" s="89" t="s">
        <v>459</v>
      </c>
      <c r="I9" s="254">
        <f t="shared" si="1"/>
        <v>0.19499999999999998</v>
      </c>
      <c r="J9" s="425"/>
    </row>
    <row r="10" spans="1:11" x14ac:dyDescent="0.2">
      <c r="A10" s="28" t="s">
        <v>8</v>
      </c>
      <c r="B10" s="14" t="s">
        <v>141</v>
      </c>
      <c r="C10" s="15">
        <v>15</v>
      </c>
      <c r="D10" s="20">
        <f t="shared" si="0"/>
        <v>1.016260162601626E-2</v>
      </c>
      <c r="E10" s="16" t="s">
        <v>22</v>
      </c>
      <c r="F10" s="16" t="s">
        <v>731</v>
      </c>
      <c r="G10" s="16" t="s">
        <v>6</v>
      </c>
      <c r="H10" s="89" t="s">
        <v>459</v>
      </c>
      <c r="I10" s="254">
        <f t="shared" si="1"/>
        <v>0.22499999999999998</v>
      </c>
      <c r="J10" s="425"/>
    </row>
    <row r="11" spans="1:11" x14ac:dyDescent="0.2">
      <c r="A11" s="28" t="s">
        <v>8</v>
      </c>
      <c r="B11" s="14" t="s">
        <v>28</v>
      </c>
      <c r="C11" s="15">
        <v>29</v>
      </c>
      <c r="D11" s="20">
        <f t="shared" ref="D11" si="2">C11/$C$1</f>
        <v>1.9647696476964769E-2</v>
      </c>
      <c r="E11" s="16" t="s">
        <v>22</v>
      </c>
      <c r="F11" s="16" t="s">
        <v>731</v>
      </c>
      <c r="G11" s="16" t="s">
        <v>6</v>
      </c>
      <c r="H11" s="89" t="s">
        <v>459</v>
      </c>
      <c r="I11" s="254">
        <f t="shared" si="1"/>
        <v>0.435</v>
      </c>
      <c r="J11" s="425"/>
    </row>
    <row r="12" spans="1:11" ht="17" thickBot="1" x14ac:dyDescent="0.25">
      <c r="A12" s="30" t="s">
        <v>8</v>
      </c>
      <c r="B12" s="31" t="s">
        <v>18</v>
      </c>
      <c r="C12" s="32">
        <v>20</v>
      </c>
      <c r="D12" s="33">
        <f t="shared" si="0"/>
        <v>1.3550135501355014E-2</v>
      </c>
      <c r="E12" s="34" t="s">
        <v>4</v>
      </c>
      <c r="F12" s="34" t="s">
        <v>731</v>
      </c>
      <c r="G12" s="34" t="s">
        <v>6</v>
      </c>
      <c r="H12" s="191" t="s">
        <v>459</v>
      </c>
      <c r="I12" s="255">
        <f t="shared" si="1"/>
        <v>0.3</v>
      </c>
      <c r="J12" s="425"/>
    </row>
    <row r="13" spans="1:11" x14ac:dyDescent="0.2">
      <c r="A13" s="252" t="s">
        <v>88</v>
      </c>
      <c r="B13" s="93" t="s">
        <v>21</v>
      </c>
      <c r="C13" s="55">
        <v>25</v>
      </c>
      <c r="D13" s="56">
        <f t="shared" si="0"/>
        <v>1.6937669376693765E-2</v>
      </c>
      <c r="E13" s="57" t="s">
        <v>22</v>
      </c>
      <c r="F13" s="57" t="s">
        <v>731</v>
      </c>
      <c r="G13" s="334" t="s">
        <v>7</v>
      </c>
      <c r="H13" s="334" t="s">
        <v>459</v>
      </c>
      <c r="I13" s="260">
        <f t="shared" si="1"/>
        <v>0.375</v>
      </c>
      <c r="J13" s="425"/>
    </row>
    <row r="14" spans="1:11" x14ac:dyDescent="0.2">
      <c r="A14" s="343" t="s">
        <v>88</v>
      </c>
      <c r="B14" s="14" t="s">
        <v>24</v>
      </c>
      <c r="C14" s="15">
        <v>3</v>
      </c>
      <c r="D14" s="20">
        <f t="shared" si="0"/>
        <v>2.0325203252032522E-3</v>
      </c>
      <c r="E14" s="16" t="s">
        <v>22</v>
      </c>
      <c r="F14" s="16" t="s">
        <v>731</v>
      </c>
      <c r="G14" s="89" t="s">
        <v>7</v>
      </c>
      <c r="H14" s="89" t="s">
        <v>459</v>
      </c>
      <c r="I14" s="254">
        <f t="shared" si="1"/>
        <v>4.4999999999999998E-2</v>
      </c>
      <c r="J14" s="425"/>
    </row>
    <row r="15" spans="1:11" x14ac:dyDescent="0.2">
      <c r="A15" s="343" t="s">
        <v>88</v>
      </c>
      <c r="B15" s="14" t="s">
        <v>25</v>
      </c>
      <c r="C15" s="15">
        <v>7</v>
      </c>
      <c r="D15" s="20">
        <f t="shared" si="0"/>
        <v>4.7425474254742545E-3</v>
      </c>
      <c r="E15" s="16" t="s">
        <v>22</v>
      </c>
      <c r="F15" s="16" t="s">
        <v>731</v>
      </c>
      <c r="G15" s="89" t="s">
        <v>7</v>
      </c>
      <c r="H15" s="89" t="s">
        <v>459</v>
      </c>
      <c r="I15" s="254">
        <f t="shared" si="1"/>
        <v>0.105</v>
      </c>
      <c r="J15" s="425"/>
    </row>
    <row r="16" spans="1:11" x14ac:dyDescent="0.2">
      <c r="A16" s="28" t="s">
        <v>88</v>
      </c>
      <c r="B16" s="14" t="s">
        <v>31</v>
      </c>
      <c r="C16" s="15">
        <v>3</v>
      </c>
      <c r="D16" s="20">
        <f t="shared" si="0"/>
        <v>2.0325203252032522E-3</v>
      </c>
      <c r="E16" s="16" t="s">
        <v>22</v>
      </c>
      <c r="F16" s="16" t="s">
        <v>731</v>
      </c>
      <c r="G16" s="89" t="s">
        <v>7</v>
      </c>
      <c r="H16" s="89" t="s">
        <v>459</v>
      </c>
      <c r="I16" s="254">
        <f t="shared" si="1"/>
        <v>4.4999999999999998E-2</v>
      </c>
      <c r="J16" s="425"/>
    </row>
    <row r="17" spans="1:11" ht="17" thickBot="1" x14ac:dyDescent="0.25">
      <c r="A17" s="68" t="s">
        <v>88</v>
      </c>
      <c r="B17" s="31" t="s">
        <v>29</v>
      </c>
      <c r="C17" s="32">
        <v>2</v>
      </c>
      <c r="D17" s="33">
        <f t="shared" si="0"/>
        <v>1.3550135501355014E-3</v>
      </c>
      <c r="E17" s="34" t="s">
        <v>4</v>
      </c>
      <c r="F17" s="34" t="s">
        <v>731</v>
      </c>
      <c r="G17" s="34" t="s">
        <v>6</v>
      </c>
      <c r="H17" s="191" t="s">
        <v>459</v>
      </c>
      <c r="I17" s="254">
        <f t="shared" si="1"/>
        <v>0.03</v>
      </c>
      <c r="J17" s="425"/>
    </row>
    <row r="18" spans="1:11" ht="17" thickBot="1" x14ac:dyDescent="0.25">
      <c r="A18" s="70" t="s">
        <v>411</v>
      </c>
      <c r="B18" s="36" t="s">
        <v>163</v>
      </c>
      <c r="C18" s="37">
        <v>29</v>
      </c>
      <c r="D18" s="38">
        <f t="shared" si="0"/>
        <v>1.9647696476964769E-2</v>
      </c>
      <c r="E18" s="39" t="s">
        <v>22</v>
      </c>
      <c r="F18" s="39" t="s">
        <v>731</v>
      </c>
      <c r="G18" s="39" t="s">
        <v>7</v>
      </c>
      <c r="H18" s="345" t="s">
        <v>459</v>
      </c>
      <c r="I18" s="257">
        <f t="shared" si="1"/>
        <v>0.435</v>
      </c>
      <c r="J18" s="425"/>
    </row>
    <row r="19" spans="1:11" ht="17" thickBot="1" x14ac:dyDescent="0.25">
      <c r="A19" s="70" t="s">
        <v>97</v>
      </c>
      <c r="B19" s="36" t="s">
        <v>30</v>
      </c>
      <c r="C19" s="37">
        <v>3</v>
      </c>
      <c r="D19" s="38">
        <f t="shared" si="0"/>
        <v>2.0325203252032522E-3</v>
      </c>
      <c r="E19" s="39" t="s">
        <v>22</v>
      </c>
      <c r="F19" s="39" t="s">
        <v>731</v>
      </c>
      <c r="G19" s="39" t="s">
        <v>7</v>
      </c>
      <c r="H19" s="345" t="s">
        <v>459</v>
      </c>
      <c r="I19" s="257">
        <f>C19/1000*$J$4</f>
        <v>4.4999999999999998E-2</v>
      </c>
      <c r="J19" s="425"/>
    </row>
    <row r="20" spans="1:11" x14ac:dyDescent="0.2">
      <c r="A20" s="365" t="s">
        <v>435</v>
      </c>
      <c r="B20" s="93" t="s">
        <v>19</v>
      </c>
      <c r="C20" s="55">
        <v>13</v>
      </c>
      <c r="D20" s="56">
        <f t="shared" si="0"/>
        <v>8.8075880758807581E-3</v>
      </c>
      <c r="E20" s="57" t="s">
        <v>4</v>
      </c>
      <c r="F20" s="57" t="s">
        <v>731</v>
      </c>
      <c r="G20" s="57" t="s">
        <v>7</v>
      </c>
      <c r="H20" s="334" t="s">
        <v>459</v>
      </c>
      <c r="I20" s="260">
        <f t="shared" si="1"/>
        <v>0.19499999999999998</v>
      </c>
      <c r="J20" s="425"/>
    </row>
    <row r="21" spans="1:11" x14ac:dyDescent="0.2">
      <c r="A21" s="188" t="s">
        <v>435</v>
      </c>
      <c r="B21" s="14" t="s">
        <v>23</v>
      </c>
      <c r="C21" s="15">
        <v>6</v>
      </c>
      <c r="D21" s="20">
        <f t="shared" si="0"/>
        <v>4.0650406504065045E-3</v>
      </c>
      <c r="E21" s="16" t="s">
        <v>4</v>
      </c>
      <c r="F21" s="16" t="s">
        <v>731</v>
      </c>
      <c r="G21" s="16" t="s">
        <v>7</v>
      </c>
      <c r="H21" s="89" t="s">
        <v>459</v>
      </c>
      <c r="I21" s="254">
        <f t="shared" si="1"/>
        <v>0.09</v>
      </c>
      <c r="J21" s="425"/>
    </row>
    <row r="22" spans="1:11" x14ac:dyDescent="0.2">
      <c r="A22" s="188" t="s">
        <v>435</v>
      </c>
      <c r="B22" s="14" t="s">
        <v>27</v>
      </c>
      <c r="C22" s="15">
        <v>24</v>
      </c>
      <c r="D22" s="20">
        <f t="shared" si="0"/>
        <v>1.6260162601626018E-2</v>
      </c>
      <c r="E22" s="16" t="s">
        <v>4</v>
      </c>
      <c r="F22" s="16" t="s">
        <v>731</v>
      </c>
      <c r="G22" s="16" t="s">
        <v>7</v>
      </c>
      <c r="H22" s="89" t="s">
        <v>459</v>
      </c>
      <c r="I22" s="254">
        <f t="shared" si="1"/>
        <v>0.36</v>
      </c>
      <c r="J22" s="425"/>
    </row>
    <row r="23" spans="1:11" x14ac:dyDescent="0.2">
      <c r="A23" s="188" t="s">
        <v>435</v>
      </c>
      <c r="B23" s="14" t="s">
        <v>26</v>
      </c>
      <c r="C23" s="15">
        <v>4</v>
      </c>
      <c r="D23" s="272">
        <f t="shared" si="0"/>
        <v>2.7100271002710027E-3</v>
      </c>
      <c r="E23" s="16" t="s">
        <v>4</v>
      </c>
      <c r="F23" s="16" t="s">
        <v>731</v>
      </c>
      <c r="G23" s="16" t="s">
        <v>7</v>
      </c>
      <c r="H23" s="89" t="s">
        <v>459</v>
      </c>
      <c r="I23" s="254">
        <f t="shared" si="1"/>
        <v>0.06</v>
      </c>
      <c r="J23" s="425"/>
    </row>
    <row r="24" spans="1:11" ht="17" thickBot="1" x14ac:dyDescent="0.25">
      <c r="A24" s="188" t="s">
        <v>435</v>
      </c>
      <c r="B24" s="14" t="s">
        <v>674</v>
      </c>
      <c r="C24" s="15">
        <v>8</v>
      </c>
      <c r="D24" s="272">
        <f t="shared" si="0"/>
        <v>5.4200542005420054E-3</v>
      </c>
      <c r="E24" s="16" t="s">
        <v>22</v>
      </c>
      <c r="F24" s="16" t="s">
        <v>731</v>
      </c>
      <c r="G24" s="16" t="s">
        <v>7</v>
      </c>
      <c r="H24" s="89" t="s">
        <v>459</v>
      </c>
      <c r="I24" s="254">
        <f t="shared" si="1"/>
        <v>0.12</v>
      </c>
      <c r="J24" s="425"/>
    </row>
    <row r="25" spans="1:11" x14ac:dyDescent="0.2">
      <c r="A25" s="120" t="s">
        <v>435</v>
      </c>
      <c r="B25" s="47" t="s">
        <v>32</v>
      </c>
      <c r="C25" s="24">
        <v>27</v>
      </c>
      <c r="D25" s="25">
        <f t="shared" si="0"/>
        <v>1.8292682926829267E-2</v>
      </c>
      <c r="E25" s="26" t="s">
        <v>4</v>
      </c>
      <c r="F25" s="26" t="s">
        <v>731</v>
      </c>
      <c r="G25" s="26" t="s">
        <v>7</v>
      </c>
      <c r="H25" s="186" t="s">
        <v>459</v>
      </c>
      <c r="I25" s="253">
        <f t="shared" si="1"/>
        <v>0.40499999999999997</v>
      </c>
      <c r="J25" s="425"/>
    </row>
    <row r="26" spans="1:11" ht="17" thickBot="1" x14ac:dyDescent="0.25">
      <c r="A26" s="103" t="s">
        <v>435</v>
      </c>
      <c r="B26" s="48" t="s">
        <v>33</v>
      </c>
      <c r="C26" s="32">
        <v>36</v>
      </c>
      <c r="D26" s="33">
        <f t="shared" si="0"/>
        <v>2.4390243902439025E-2</v>
      </c>
      <c r="E26" s="34" t="s">
        <v>22</v>
      </c>
      <c r="F26" s="34" t="s">
        <v>731</v>
      </c>
      <c r="G26" s="34" t="s">
        <v>7</v>
      </c>
      <c r="H26" s="191" t="s">
        <v>459</v>
      </c>
      <c r="I26" s="255">
        <f t="shared" si="1"/>
        <v>0.53999999999999992</v>
      </c>
      <c r="J26" s="426"/>
    </row>
    <row r="27" spans="1:11" ht="17" thickBot="1" x14ac:dyDescent="0.25">
      <c r="D27" s="13"/>
    </row>
    <row r="28" spans="1:11" x14ac:dyDescent="0.2">
      <c r="A28" s="413" t="s">
        <v>620</v>
      </c>
      <c r="B28" s="414"/>
      <c r="C28" s="414"/>
      <c r="D28" s="414"/>
      <c r="E28" s="415"/>
      <c r="F28" s="81"/>
      <c r="G28" s="81"/>
      <c r="H28" s="81"/>
      <c r="I28" s="109"/>
      <c r="J28" s="111"/>
      <c r="K28" s="143"/>
    </row>
    <row r="29" spans="1:11" x14ac:dyDescent="0.2">
      <c r="A29" s="213" t="s">
        <v>613</v>
      </c>
      <c r="B29" s="208" t="s">
        <v>614</v>
      </c>
      <c r="C29" s="209"/>
      <c r="D29" s="214" t="s">
        <v>617</v>
      </c>
      <c r="E29" s="215"/>
      <c r="F29" s="81"/>
      <c r="G29" s="81"/>
      <c r="H29" s="81"/>
      <c r="I29" s="109"/>
      <c r="J29" s="111"/>
      <c r="K29" s="143"/>
    </row>
    <row r="30" spans="1:11" x14ac:dyDescent="0.2">
      <c r="A30" s="79" t="str">
        <f>A4</f>
        <v>APU</v>
      </c>
      <c r="B30" s="14">
        <f>SUMIF($A$4:$A$26,A30,$C$4:$C$26)</f>
        <v>1286</v>
      </c>
      <c r="C30" s="75">
        <f t="shared" ref="C30:C33" si="3">B30/$C$1</f>
        <v>0.87127371273712739</v>
      </c>
      <c r="D30" s="225">
        <f>B30*15/1000</f>
        <v>19.29</v>
      </c>
      <c r="E30" s="210">
        <f>D30/$E$1</f>
        <v>0.87127371273712728</v>
      </c>
      <c r="F30" s="81"/>
      <c r="G30" s="81"/>
      <c r="H30" s="81"/>
    </row>
    <row r="31" spans="1:11" x14ac:dyDescent="0.2">
      <c r="A31" s="79" t="str">
        <f>A13</f>
        <v>MCS</v>
      </c>
      <c r="B31" s="14">
        <f>SUMIF($A$4:$A$26,A31,$C$4:$C$26)</f>
        <v>40</v>
      </c>
      <c r="C31" s="75">
        <f t="shared" si="3"/>
        <v>2.7100271002710029E-2</v>
      </c>
      <c r="D31" s="225">
        <f t="shared" ref="D31" si="4">B31*15/1000</f>
        <v>0.6</v>
      </c>
      <c r="E31" s="210">
        <f>D31/$E$1</f>
        <v>2.7100271002710025E-2</v>
      </c>
      <c r="F31" s="81"/>
      <c r="G31" s="81"/>
      <c r="H31" s="81"/>
    </row>
    <row r="32" spans="1:11" x14ac:dyDescent="0.2">
      <c r="A32" s="79" t="str">
        <f>A18</f>
        <v>Nomin Foods LLC</v>
      </c>
      <c r="B32" s="14">
        <f>SUMIF($A$4:$A$26,A32,$C$4:$C$26)</f>
        <v>29</v>
      </c>
      <c r="C32" s="75">
        <f t="shared" si="3"/>
        <v>1.9647696476964769E-2</v>
      </c>
      <c r="D32" s="225">
        <f>B32*15/1000</f>
        <v>0.435</v>
      </c>
      <c r="E32" s="210">
        <f>D32/$E$1</f>
        <v>1.9647696476964769E-2</v>
      </c>
      <c r="F32" s="81"/>
      <c r="G32" s="81"/>
      <c r="H32" s="81"/>
    </row>
    <row r="33" spans="1:8" ht="17" thickBot="1" x14ac:dyDescent="0.25">
      <c r="A33" s="211" t="s">
        <v>435</v>
      </c>
      <c r="B33" s="271">
        <f>SUM(C19:C26)</f>
        <v>121</v>
      </c>
      <c r="C33" s="85">
        <f t="shared" si="3"/>
        <v>8.1978319783197834E-2</v>
      </c>
      <c r="D33" s="224">
        <f>B33*15/1000</f>
        <v>1.8149999999999999</v>
      </c>
      <c r="E33" s="212">
        <f>D33/$E$1</f>
        <v>8.1978319783197834E-2</v>
      </c>
      <c r="F33" s="81"/>
      <c r="G33" s="81"/>
      <c r="H33" s="81"/>
    </row>
    <row r="34" spans="1:8" x14ac:dyDescent="0.2">
      <c r="A34" s="76"/>
      <c r="B34" s="262">
        <f>SUM(B30:B33)-$C$1</f>
        <v>0</v>
      </c>
      <c r="C34" s="78"/>
      <c r="D34" s="262">
        <f>SUM(D30:D33)-$E$1</f>
        <v>0</v>
      </c>
      <c r="E34" s="81"/>
      <c r="F34" s="81"/>
      <c r="G34" s="81"/>
      <c r="H34" s="81"/>
    </row>
    <row r="35" spans="1:8" x14ac:dyDescent="0.2">
      <c r="A35" s="76"/>
      <c r="B35" s="76"/>
      <c r="C35" s="78"/>
      <c r="D35" s="80"/>
      <c r="E35" s="81"/>
      <c r="F35" s="81"/>
      <c r="G35" s="81"/>
      <c r="H35" s="81"/>
    </row>
    <row r="36" spans="1:8" x14ac:dyDescent="0.2">
      <c r="A36" s="76"/>
      <c r="B36" s="76"/>
      <c r="C36" s="78"/>
      <c r="D36" s="80"/>
      <c r="E36" s="81"/>
      <c r="F36" s="81"/>
      <c r="G36" s="81"/>
      <c r="H36" s="81"/>
    </row>
    <row r="37" spans="1:8" x14ac:dyDescent="0.2">
      <c r="A37" s="76"/>
      <c r="B37" s="76"/>
      <c r="C37" s="78"/>
      <c r="D37" s="80"/>
      <c r="E37" s="81"/>
      <c r="F37" s="81"/>
      <c r="G37" s="81"/>
      <c r="H37" s="81"/>
    </row>
    <row r="38" spans="1:8" x14ac:dyDescent="0.2">
      <c r="A38" s="76"/>
      <c r="B38" s="76"/>
      <c r="C38" s="78"/>
      <c r="D38" s="80"/>
      <c r="E38" s="81"/>
      <c r="F38" s="81"/>
      <c r="G38" s="81"/>
      <c r="H38" s="81"/>
    </row>
    <row r="39" spans="1:8" x14ac:dyDescent="0.2">
      <c r="A39" s="76"/>
      <c r="B39" s="76"/>
      <c r="C39" s="78"/>
      <c r="D39" s="80"/>
      <c r="E39" s="81"/>
      <c r="F39" s="81"/>
      <c r="G39" s="81"/>
      <c r="H39" s="81"/>
    </row>
    <row r="40" spans="1:8" x14ac:dyDescent="0.2">
      <c r="A40" s="76"/>
      <c r="B40" s="83"/>
      <c r="C40" s="78"/>
      <c r="D40" s="80"/>
      <c r="E40" s="81"/>
      <c r="F40" s="81"/>
      <c r="G40" s="81"/>
      <c r="H40" s="81"/>
    </row>
    <row r="41" spans="1:8" x14ac:dyDescent="0.2">
      <c r="A41" s="76"/>
      <c r="B41" s="82"/>
      <c r="C41" s="78"/>
      <c r="D41" s="80"/>
      <c r="E41" s="81"/>
      <c r="F41" s="81"/>
      <c r="G41" s="81"/>
      <c r="H41" s="81"/>
    </row>
    <row r="42" spans="1:8" x14ac:dyDescent="0.2">
      <c r="A42" s="76"/>
      <c r="B42" s="82"/>
      <c r="C42" s="78"/>
      <c r="D42" s="80"/>
      <c r="E42" s="81"/>
      <c r="F42" s="81"/>
      <c r="G42" s="81"/>
      <c r="H42" s="81"/>
    </row>
    <row r="43" spans="1:8" x14ac:dyDescent="0.2">
      <c r="A43" s="76"/>
      <c r="B43" s="82"/>
      <c r="C43" s="78"/>
      <c r="D43" s="80"/>
      <c r="E43" s="81"/>
      <c r="F43" s="81"/>
      <c r="G43" s="81"/>
      <c r="H43" s="81"/>
    </row>
    <row r="44" spans="1:8" x14ac:dyDescent="0.2">
      <c r="A44" s="76"/>
      <c r="B44" s="82"/>
      <c r="C44" s="78"/>
      <c r="D44" s="80"/>
      <c r="E44" s="81"/>
      <c r="F44" s="81"/>
      <c r="G44" s="81"/>
      <c r="H44" s="81"/>
    </row>
    <row r="45" spans="1:8" x14ac:dyDescent="0.2">
      <c r="A45" s="76"/>
      <c r="B45" s="82"/>
      <c r="C45" s="78"/>
      <c r="D45" s="80"/>
      <c r="E45" s="81"/>
      <c r="F45" s="81"/>
      <c r="G45" s="81"/>
      <c r="H45" s="81"/>
    </row>
    <row r="46" spans="1:8" x14ac:dyDescent="0.2">
      <c r="A46" s="76"/>
      <c r="B46" s="83"/>
      <c r="C46" s="78"/>
      <c r="D46" s="80"/>
      <c r="E46" s="81"/>
      <c r="F46" s="81"/>
      <c r="G46" s="81"/>
      <c r="H46" s="81"/>
    </row>
    <row r="47" spans="1:8" x14ac:dyDescent="0.2">
      <c r="A47" s="76"/>
      <c r="B47" s="83"/>
      <c r="C47" s="78"/>
      <c r="D47" s="80"/>
      <c r="E47" s="81"/>
      <c r="F47" s="81"/>
      <c r="G47" s="81"/>
      <c r="H47" s="81"/>
    </row>
    <row r="48" spans="1:8" ht="17" thickBot="1" x14ac:dyDescent="0.25">
      <c r="A48" s="10"/>
      <c r="C48" s="6"/>
      <c r="D48" s="6"/>
      <c r="E48" s="5"/>
      <c r="F48" s="5"/>
      <c r="G48" s="5"/>
      <c r="H48" s="5"/>
    </row>
    <row r="49" spans="1:8" x14ac:dyDescent="0.2">
      <c r="A49" s="413" t="s">
        <v>126</v>
      </c>
      <c r="B49" s="414"/>
      <c r="C49" s="414"/>
      <c r="D49" s="414"/>
      <c r="E49" s="415"/>
      <c r="F49" s="5"/>
      <c r="G49" s="5"/>
      <c r="H49" s="5"/>
    </row>
    <row r="50" spans="1:8" x14ac:dyDescent="0.2">
      <c r="A50" s="213" t="s">
        <v>1</v>
      </c>
      <c r="B50" s="208" t="s">
        <v>614</v>
      </c>
      <c r="C50" s="209"/>
      <c r="D50" s="214" t="s">
        <v>617</v>
      </c>
      <c r="E50" s="215"/>
      <c r="F50" s="81"/>
      <c r="G50" s="81"/>
      <c r="H50" s="81"/>
    </row>
    <row r="51" spans="1:8" x14ac:dyDescent="0.2">
      <c r="A51" s="79" t="s">
        <v>4</v>
      </c>
      <c r="B51" s="14">
        <f>SUMIF($E$4:$E$26,A51,$C$4:$C$26)</f>
        <v>1318</v>
      </c>
      <c r="C51" s="75">
        <f>B51/$C$1</f>
        <v>0.89295392953929542</v>
      </c>
      <c r="D51" s="225">
        <f>B51*15/1000</f>
        <v>19.77</v>
      </c>
      <c r="E51" s="210">
        <f>D51/$E$1</f>
        <v>0.89295392953929531</v>
      </c>
      <c r="F51" s="81"/>
      <c r="G51" s="81"/>
      <c r="H51" s="81"/>
    </row>
    <row r="52" spans="1:8" ht="17" thickBot="1" x14ac:dyDescent="0.25">
      <c r="A52" s="84" t="s">
        <v>22</v>
      </c>
      <c r="B52" s="31">
        <f>SUMIF($E$4:$E$26,A52,$C$4:$C$26)</f>
        <v>158</v>
      </c>
      <c r="C52" s="85">
        <f>B52/$C$1</f>
        <v>0.10704607046070461</v>
      </c>
      <c r="D52" s="224">
        <f t="shared" ref="D52" si="5">B52*15/1000</f>
        <v>2.37</v>
      </c>
      <c r="E52" s="212">
        <f>D52/$E$1</f>
        <v>0.10704607046070461</v>
      </c>
      <c r="F52" s="81"/>
      <c r="G52" s="81"/>
      <c r="H52" s="81"/>
    </row>
    <row r="53" spans="1:8" x14ac:dyDescent="0.2">
      <c r="A53" s="76"/>
      <c r="B53" s="262">
        <f>SUM(B51:B52)-$C$1</f>
        <v>0</v>
      </c>
      <c r="C53" s="78"/>
      <c r="D53" s="262">
        <f>SUM(D49:D52)-$E$1</f>
        <v>0</v>
      </c>
      <c r="E53" s="81"/>
      <c r="F53" s="81"/>
      <c r="G53" s="81"/>
      <c r="H53" s="81"/>
    </row>
    <row r="54" spans="1:8" x14ac:dyDescent="0.2">
      <c r="A54" s="76"/>
      <c r="B54" s="82"/>
      <c r="C54" s="78"/>
      <c r="D54" s="80"/>
      <c r="E54" s="81"/>
      <c r="F54" s="81"/>
      <c r="G54" s="81"/>
      <c r="H54" s="81"/>
    </row>
    <row r="55" spans="1:8" x14ac:dyDescent="0.2">
      <c r="A55" s="76"/>
      <c r="B55" s="83"/>
      <c r="C55" s="78"/>
      <c r="D55" s="80"/>
      <c r="E55" s="81"/>
      <c r="F55" s="81"/>
      <c r="G55" s="81"/>
      <c r="H55" s="81"/>
    </row>
    <row r="56" spans="1:8" x14ac:dyDescent="0.2">
      <c r="A56" s="76"/>
      <c r="B56" s="82"/>
      <c r="C56" s="78"/>
      <c r="D56" s="80"/>
      <c r="E56" s="81"/>
      <c r="F56" s="81"/>
      <c r="G56" s="81"/>
      <c r="H56" s="81"/>
    </row>
    <row r="57" spans="1:8" x14ac:dyDescent="0.2">
      <c r="A57" s="76"/>
      <c r="B57" s="82"/>
      <c r="C57" s="78"/>
      <c r="D57" s="80"/>
      <c r="E57" s="81"/>
      <c r="F57" s="81"/>
      <c r="G57" s="81"/>
      <c r="H57" s="81"/>
    </row>
    <row r="58" spans="1:8" x14ac:dyDescent="0.2">
      <c r="A58" s="76"/>
      <c r="B58" s="82"/>
      <c r="C58" s="78"/>
      <c r="D58" s="80"/>
      <c r="E58" s="81"/>
      <c r="F58" s="81"/>
      <c r="G58" s="81"/>
      <c r="H58" s="81"/>
    </row>
    <row r="59" spans="1:8" x14ac:dyDescent="0.2">
      <c r="A59" s="76"/>
      <c r="B59" s="82"/>
      <c r="C59" s="78"/>
      <c r="D59" s="80"/>
      <c r="E59" s="81"/>
      <c r="F59" s="81"/>
      <c r="G59" s="81"/>
      <c r="H59" s="81"/>
    </row>
    <row r="60" spans="1:8" x14ac:dyDescent="0.2">
      <c r="A60" s="76"/>
      <c r="B60" s="82"/>
      <c r="C60" s="78"/>
      <c r="D60" s="80"/>
      <c r="E60" s="81"/>
      <c r="F60" s="81"/>
      <c r="G60" s="81"/>
      <c r="H60" s="81"/>
    </row>
    <row r="61" spans="1:8" x14ac:dyDescent="0.2">
      <c r="A61" s="76"/>
      <c r="B61" s="82"/>
      <c r="C61" s="78"/>
      <c r="D61" s="80"/>
      <c r="E61" s="81"/>
      <c r="F61" s="81"/>
      <c r="G61" s="81"/>
      <c r="H61" s="81"/>
    </row>
    <row r="62" spans="1:8" x14ac:dyDescent="0.2">
      <c r="A62" s="76"/>
      <c r="B62" s="82"/>
      <c r="C62" s="78"/>
      <c r="D62" s="80"/>
      <c r="E62" s="81"/>
      <c r="F62" s="81"/>
      <c r="G62" s="81"/>
      <c r="H62" s="81"/>
    </row>
    <row r="63" spans="1:8" x14ac:dyDescent="0.2">
      <c r="A63" s="76"/>
      <c r="B63" s="82"/>
      <c r="C63" s="78"/>
      <c r="D63" s="80"/>
      <c r="E63" s="81"/>
      <c r="F63" s="81"/>
      <c r="G63" s="81"/>
      <c r="H63" s="81"/>
    </row>
    <row r="64" spans="1:8" x14ac:dyDescent="0.2">
      <c r="A64" s="76"/>
      <c r="B64" s="82"/>
      <c r="C64" s="78"/>
      <c r="D64" s="80"/>
      <c r="E64" s="81"/>
      <c r="F64" s="81"/>
      <c r="G64" s="81"/>
      <c r="H64" s="81"/>
    </row>
    <row r="65" spans="1:8" x14ac:dyDescent="0.2">
      <c r="A65" s="216"/>
      <c r="B65" s="83"/>
      <c r="C65" s="82"/>
      <c r="D65" s="80"/>
      <c r="E65" s="81"/>
      <c r="F65" s="81"/>
      <c r="G65" s="81"/>
      <c r="H65" s="81"/>
    </row>
    <row r="66" spans="1:8" x14ac:dyDescent="0.2">
      <c r="A66" s="216"/>
      <c r="B66" s="76"/>
      <c r="C66" s="82"/>
      <c r="D66" s="80"/>
      <c r="E66" s="81"/>
      <c r="F66" s="81"/>
      <c r="G66" s="81"/>
      <c r="H66" s="81"/>
    </row>
    <row r="67" spans="1:8" x14ac:dyDescent="0.2">
      <c r="A67" s="216"/>
      <c r="B67" s="76"/>
      <c r="C67" s="82"/>
      <c r="D67" s="80"/>
      <c r="E67" s="81"/>
      <c r="F67" s="81"/>
      <c r="G67" s="81"/>
      <c r="H67" s="81"/>
    </row>
    <row r="68" spans="1:8" x14ac:dyDescent="0.2">
      <c r="A68" s="9"/>
      <c r="B68" s="11"/>
      <c r="C68" s="1"/>
      <c r="D68" s="6"/>
      <c r="E68" s="5"/>
      <c r="F68" s="5"/>
      <c r="G68" s="5"/>
      <c r="H68" s="5"/>
    </row>
    <row r="69" spans="1:8" ht="17" thickBot="1" x14ac:dyDescent="0.25">
      <c r="A69" s="9"/>
      <c r="B69" s="11"/>
      <c r="C69" s="1"/>
      <c r="D69" s="6"/>
      <c r="E69" s="5"/>
      <c r="F69" s="5"/>
      <c r="G69" s="5"/>
      <c r="H69" s="5"/>
    </row>
    <row r="70" spans="1:8" x14ac:dyDescent="0.2">
      <c r="A70" s="413" t="s">
        <v>670</v>
      </c>
      <c r="B70" s="414"/>
      <c r="C70" s="414"/>
      <c r="D70" s="414"/>
      <c r="E70" s="415"/>
      <c r="F70" s="81"/>
      <c r="G70" s="81"/>
      <c r="H70" s="81"/>
    </row>
    <row r="71" spans="1:8" x14ac:dyDescent="0.2">
      <c r="A71" s="213" t="s">
        <v>1</v>
      </c>
      <c r="B71" s="208" t="s">
        <v>614</v>
      </c>
      <c r="C71" s="209"/>
      <c r="D71" s="214" t="s">
        <v>617</v>
      </c>
      <c r="E71" s="215"/>
      <c r="F71" s="81"/>
      <c r="G71" s="81"/>
      <c r="H71" s="81"/>
    </row>
    <row r="72" spans="1:8" x14ac:dyDescent="0.2">
      <c r="A72" s="79" t="s">
        <v>6</v>
      </c>
      <c r="B72" s="14">
        <f>SUMIF($G$4:$G$26,A72,$C$4:$C$26)</f>
        <v>1288</v>
      </c>
      <c r="C72" s="75">
        <f>B72/$C$1</f>
        <v>0.87262872628726285</v>
      </c>
      <c r="D72" s="225">
        <f>B72*15/1000</f>
        <v>19.32</v>
      </c>
      <c r="E72" s="210">
        <f>D72/$E$1</f>
        <v>0.87262872628726285</v>
      </c>
      <c r="F72" s="81"/>
      <c r="G72" s="81"/>
      <c r="H72" s="81"/>
    </row>
    <row r="73" spans="1:8" ht="17" thickBot="1" x14ac:dyDescent="0.25">
      <c r="A73" s="84" t="s">
        <v>7</v>
      </c>
      <c r="B73" s="31">
        <f>SUMIF($G$4:$G$26,A73,$C$4:$C$26)</f>
        <v>188</v>
      </c>
      <c r="C73" s="85">
        <f>B73/$C$1</f>
        <v>0.12737127371273713</v>
      </c>
      <c r="D73" s="224">
        <f t="shared" ref="D73" si="6">B73*15/1000</f>
        <v>2.82</v>
      </c>
      <c r="E73" s="212">
        <f>D73/$E$1</f>
        <v>0.12737127371273713</v>
      </c>
      <c r="F73" s="81"/>
      <c r="G73" s="81"/>
      <c r="H73" s="81"/>
    </row>
    <row r="74" spans="1:8" x14ac:dyDescent="0.2">
      <c r="A74" s="76"/>
      <c r="B74" s="262">
        <f>SUM(B72:B73)-$C$1</f>
        <v>0</v>
      </c>
      <c r="C74" s="78"/>
      <c r="D74" s="262">
        <f>SUM(D70:D73)-$E$1</f>
        <v>0</v>
      </c>
      <c r="E74" s="81"/>
      <c r="F74" s="81"/>
      <c r="G74" s="81"/>
      <c r="H74" s="81"/>
    </row>
    <row r="75" spans="1:8" x14ac:dyDescent="0.2">
      <c r="A75" s="82"/>
      <c r="B75" s="82"/>
      <c r="C75" s="80"/>
      <c r="D75" s="80"/>
      <c r="E75" s="81"/>
      <c r="F75" s="81"/>
      <c r="G75" s="81"/>
      <c r="H75" s="81"/>
    </row>
    <row r="76" spans="1:8" x14ac:dyDescent="0.2">
      <c r="A76" s="82"/>
      <c r="B76" s="82"/>
      <c r="C76" s="80"/>
      <c r="D76" s="80"/>
      <c r="E76" s="81"/>
      <c r="F76" s="81"/>
      <c r="G76" s="81"/>
      <c r="H76" s="81"/>
    </row>
    <row r="77" spans="1:8" x14ac:dyDescent="0.2">
      <c r="A77" s="82"/>
      <c r="B77" s="82"/>
      <c r="C77" s="80"/>
      <c r="D77" s="80"/>
      <c r="E77" s="81"/>
      <c r="F77" s="81"/>
      <c r="G77" s="81"/>
      <c r="H77" s="81"/>
    </row>
    <row r="78" spans="1:8" x14ac:dyDescent="0.2">
      <c r="A78" s="82"/>
      <c r="B78" s="82"/>
      <c r="C78" s="80"/>
      <c r="D78" s="80"/>
      <c r="E78" s="81"/>
      <c r="F78" s="81"/>
      <c r="G78" s="81"/>
      <c r="H78" s="81"/>
    </row>
    <row r="79" spans="1:8" x14ac:dyDescent="0.2">
      <c r="A79" s="82"/>
      <c r="B79" s="82"/>
      <c r="C79" s="80"/>
      <c r="D79" s="80"/>
      <c r="E79" s="81"/>
      <c r="F79" s="81"/>
      <c r="G79" s="81"/>
      <c r="H79" s="81"/>
    </row>
    <row r="80" spans="1:8" x14ac:dyDescent="0.2">
      <c r="A80" s="82"/>
      <c r="B80" s="82"/>
      <c r="C80" s="80"/>
      <c r="D80" s="80"/>
      <c r="E80" s="81"/>
      <c r="F80" s="81"/>
      <c r="G80" s="81"/>
      <c r="H80" s="81"/>
    </row>
    <row r="81" spans="1:8" x14ac:dyDescent="0.2">
      <c r="A81" s="82"/>
      <c r="B81" s="82"/>
      <c r="C81" s="80"/>
      <c r="D81" s="80"/>
      <c r="E81" s="81"/>
      <c r="F81" s="81"/>
      <c r="G81" s="81"/>
      <c r="H81" s="81"/>
    </row>
    <row r="82" spans="1:8" x14ac:dyDescent="0.2">
      <c r="A82" s="82"/>
      <c r="B82" s="82"/>
      <c r="C82" s="80"/>
      <c r="D82" s="80"/>
      <c r="E82" s="81"/>
      <c r="F82" s="81"/>
      <c r="G82" s="81"/>
      <c r="H82" s="81"/>
    </row>
    <row r="83" spans="1:8" x14ac:dyDescent="0.2">
      <c r="A83" s="82"/>
      <c r="B83" s="82"/>
      <c r="C83" s="80"/>
      <c r="D83" s="80"/>
      <c r="E83" s="81"/>
      <c r="F83" s="81"/>
      <c r="G83" s="81"/>
      <c r="H83" s="81"/>
    </row>
    <row r="84" spans="1:8" x14ac:dyDescent="0.2">
      <c r="A84" s="82"/>
      <c r="B84" s="82"/>
      <c r="C84" s="80"/>
      <c r="D84" s="80"/>
      <c r="E84" s="81"/>
      <c r="F84" s="81"/>
      <c r="G84" s="81"/>
      <c r="H84" s="81"/>
    </row>
    <row r="85" spans="1:8" x14ac:dyDescent="0.2">
      <c r="A85" s="82"/>
      <c r="B85" s="82"/>
      <c r="C85" s="80"/>
      <c r="D85" s="80"/>
      <c r="E85" s="81"/>
      <c r="F85" s="81"/>
      <c r="G85" s="81"/>
      <c r="H85" s="81"/>
    </row>
    <row r="86" spans="1:8" x14ac:dyDescent="0.2">
      <c r="A86" s="82"/>
      <c r="B86" s="82"/>
      <c r="C86" s="80"/>
      <c r="D86" s="80"/>
      <c r="E86" s="81"/>
      <c r="F86" s="81"/>
      <c r="G86" s="81"/>
      <c r="H86" s="81"/>
    </row>
    <row r="87" spans="1:8" x14ac:dyDescent="0.2">
      <c r="A87" s="82"/>
      <c r="B87" s="82"/>
      <c r="C87" s="80"/>
      <c r="D87" s="80"/>
      <c r="E87" s="81"/>
      <c r="F87" s="81"/>
      <c r="G87" s="81"/>
      <c r="H87" s="81"/>
    </row>
    <row r="88" spans="1:8" x14ac:dyDescent="0.2">
      <c r="A88" s="82"/>
      <c r="B88" s="82"/>
      <c r="C88" s="80"/>
      <c r="D88" s="80"/>
      <c r="E88" s="81"/>
      <c r="F88" s="81"/>
      <c r="G88" s="81"/>
      <c r="H88" s="81"/>
    </row>
    <row r="89" spans="1:8" ht="17" thickBot="1" x14ac:dyDescent="0.25">
      <c r="A89" s="1"/>
      <c r="B89" s="1"/>
      <c r="C89" s="6"/>
      <c r="D89" s="6"/>
      <c r="E89" s="5"/>
      <c r="F89" s="5"/>
      <c r="G89" s="5"/>
      <c r="H89" s="5"/>
    </row>
    <row r="90" spans="1:8" x14ac:dyDescent="0.2">
      <c r="A90" s="416" t="s">
        <v>619</v>
      </c>
      <c r="B90" s="417"/>
      <c r="C90" s="417"/>
      <c r="D90" s="417"/>
      <c r="E90" s="418"/>
      <c r="F90" s="81"/>
      <c r="G90" s="81"/>
      <c r="H90" s="81"/>
    </row>
    <row r="91" spans="1:8" x14ac:dyDescent="0.2">
      <c r="A91" s="213" t="s">
        <v>622</v>
      </c>
      <c r="B91" s="208" t="s">
        <v>614</v>
      </c>
      <c r="C91" s="209"/>
      <c r="D91" s="214" t="s">
        <v>617</v>
      </c>
      <c r="E91" s="215"/>
      <c r="F91" s="81"/>
      <c r="G91" s="81"/>
      <c r="H91" s="81"/>
    </row>
    <row r="92" spans="1:8" ht="17" thickBot="1" x14ac:dyDescent="0.25">
      <c r="A92" s="84" t="str">
        <f>H8</f>
        <v>Downcycling</v>
      </c>
      <c r="B92" s="31">
        <f>SUMIF($H$4:$H$26,A92,$C$4:$C$26)</f>
        <v>1476</v>
      </c>
      <c r="C92" s="85">
        <f>B92/$C$1</f>
        <v>1</v>
      </c>
      <c r="D92" s="223">
        <f>SUMIF($H$4:$H$66,A92,$I$4:$I$66)</f>
        <v>22.140000000000008</v>
      </c>
      <c r="E92" s="212">
        <f>D92/$E$1</f>
        <v>1.0000000000000002</v>
      </c>
      <c r="F92" s="81"/>
      <c r="G92" s="81"/>
      <c r="H92" s="81"/>
    </row>
    <row r="93" spans="1:8" x14ac:dyDescent="0.2">
      <c r="A93" s="76"/>
      <c r="B93" s="262">
        <f>B92-C1</f>
        <v>0</v>
      </c>
      <c r="C93" s="82"/>
      <c r="D93" s="262">
        <f>D92-E1</f>
        <v>0</v>
      </c>
      <c r="E93" s="81"/>
      <c r="F93" s="81"/>
      <c r="G93" s="81"/>
      <c r="H93" s="81"/>
    </row>
    <row r="94" spans="1:8" x14ac:dyDescent="0.2">
      <c r="A94" s="82"/>
      <c r="B94" s="82"/>
      <c r="C94" s="80"/>
      <c r="D94" s="80"/>
      <c r="E94" s="81"/>
      <c r="F94" s="81"/>
      <c r="G94" s="81"/>
      <c r="H94" s="81"/>
    </row>
    <row r="95" spans="1:8" x14ac:dyDescent="0.2">
      <c r="A95" s="82"/>
      <c r="B95" s="82"/>
      <c r="C95" s="80"/>
      <c r="D95" s="80"/>
      <c r="E95" s="81"/>
      <c r="F95" s="81"/>
      <c r="G95" s="81"/>
      <c r="H95" s="81"/>
    </row>
    <row r="96" spans="1:8" x14ac:dyDescent="0.2">
      <c r="A96" s="82"/>
      <c r="B96" s="82"/>
      <c r="C96" s="80"/>
      <c r="D96" s="80"/>
      <c r="E96" s="81"/>
      <c r="F96" s="81"/>
      <c r="G96" s="81"/>
      <c r="H96" s="81"/>
    </row>
    <row r="97" spans="1:8" x14ac:dyDescent="0.2">
      <c r="A97" s="82"/>
      <c r="B97" s="82"/>
      <c r="C97" s="80"/>
      <c r="D97" s="80"/>
      <c r="E97" s="81"/>
      <c r="F97" s="81"/>
      <c r="G97" s="81"/>
      <c r="H97" s="81"/>
    </row>
    <row r="98" spans="1:8" x14ac:dyDescent="0.2">
      <c r="A98" s="82"/>
      <c r="B98" s="82"/>
      <c r="C98" s="80"/>
      <c r="D98" s="80"/>
      <c r="E98" s="81"/>
      <c r="F98" s="81"/>
      <c r="G98" s="81"/>
      <c r="H98" s="81"/>
    </row>
    <row r="99" spans="1:8" x14ac:dyDescent="0.2">
      <c r="A99" s="82"/>
      <c r="B99" s="82"/>
      <c r="C99" s="80"/>
      <c r="D99" s="80"/>
      <c r="E99" s="81"/>
      <c r="F99" s="81"/>
      <c r="G99" s="81"/>
      <c r="H99" s="81"/>
    </row>
    <row r="100" spans="1:8" x14ac:dyDescent="0.2">
      <c r="A100" s="82"/>
      <c r="B100" s="82"/>
      <c r="C100" s="80"/>
      <c r="D100" s="80"/>
      <c r="E100" s="81"/>
      <c r="F100" s="81"/>
      <c r="G100" s="81"/>
      <c r="H100" s="81"/>
    </row>
    <row r="101" spans="1:8" x14ac:dyDescent="0.2">
      <c r="A101" s="82"/>
      <c r="B101" s="82"/>
      <c r="C101" s="80"/>
      <c r="D101" s="80"/>
      <c r="E101" s="81"/>
      <c r="F101" s="81"/>
      <c r="G101" s="81"/>
      <c r="H101" s="81"/>
    </row>
    <row r="102" spans="1:8" x14ac:dyDescent="0.2">
      <c r="A102" s="82"/>
      <c r="B102" s="82"/>
      <c r="C102" s="80"/>
      <c r="D102" s="80"/>
      <c r="E102" s="81"/>
      <c r="F102" s="81"/>
      <c r="G102" s="81"/>
      <c r="H102" s="81"/>
    </row>
    <row r="103" spans="1:8" x14ac:dyDescent="0.2">
      <c r="A103" s="82"/>
      <c r="B103" s="82"/>
      <c r="C103" s="80"/>
      <c r="D103" s="80"/>
      <c r="E103" s="81"/>
      <c r="F103" s="81"/>
      <c r="G103" s="81"/>
      <c r="H103" s="81"/>
    </row>
    <row r="104" spans="1:8" x14ac:dyDescent="0.2">
      <c r="A104" s="82"/>
      <c r="B104" s="82"/>
      <c r="C104" s="80"/>
      <c r="D104" s="80"/>
      <c r="E104" s="81"/>
      <c r="F104" s="81"/>
      <c r="G104" s="81"/>
      <c r="H104" s="81"/>
    </row>
    <row r="105" spans="1:8" x14ac:dyDescent="0.2">
      <c r="A105" s="1"/>
      <c r="B105" s="1"/>
      <c r="C105" s="6"/>
      <c r="D105" s="6"/>
      <c r="E105" s="5"/>
      <c r="F105" s="5"/>
      <c r="G105" s="5"/>
      <c r="H105" s="5"/>
    </row>
    <row r="106" spans="1:8" x14ac:dyDescent="0.2">
      <c r="A106" s="1"/>
      <c r="B106" s="1"/>
      <c r="C106" s="6"/>
      <c r="D106" s="6"/>
      <c r="E106" s="5"/>
      <c r="F106" s="5"/>
      <c r="G106" s="5"/>
      <c r="H106" s="5"/>
    </row>
    <row r="107" spans="1:8" x14ac:dyDescent="0.2">
      <c r="A107" s="1"/>
      <c r="B107" s="1"/>
      <c r="C107" s="6"/>
      <c r="D107" s="6"/>
      <c r="E107" s="5"/>
      <c r="F107" s="5"/>
      <c r="G107" s="5"/>
      <c r="H107" s="5"/>
    </row>
  </sheetData>
  <mergeCells count="7">
    <mergeCell ref="A90:E90"/>
    <mergeCell ref="C3:D3"/>
    <mergeCell ref="C1:D1"/>
    <mergeCell ref="A28:E28"/>
    <mergeCell ref="J4:J26"/>
    <mergeCell ref="A49:E49"/>
    <mergeCell ref="A70:E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OVERALL</vt:lpstr>
      <vt:lpstr>Glass bot.</vt:lpstr>
      <vt:lpstr>Glass jars</vt:lpstr>
      <vt:lpstr>TOT. GLASS</vt:lpstr>
      <vt:lpstr>PET bot.</vt:lpstr>
      <vt:lpstr>Non-PET</vt:lpstr>
      <vt:lpstr>Plastic bags</vt:lpstr>
      <vt:lpstr>TOT. PLASTIC</vt:lpstr>
      <vt:lpstr>Alu cans</vt:lpstr>
      <vt:lpstr>Steel cans</vt:lpstr>
      <vt:lpstr>TOT. METAL</vt:lpstr>
      <vt:lpstr>TetraPak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</cp:lastModifiedBy>
  <dcterms:created xsi:type="dcterms:W3CDTF">2022-03-04T07:11:35Z</dcterms:created>
  <dcterms:modified xsi:type="dcterms:W3CDTF">2022-05-13T02:50:41Z</dcterms:modified>
</cp:coreProperties>
</file>